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2" activeTab="2"/>
  </bookViews>
  <sheets>
    <sheet name="PAC INICIAL 2018" sheetId="13" state="hidden" r:id="rId1"/>
    <sheet name="LIBRO DE PRESUPUESTO" sheetId="15" state="hidden" r:id="rId2"/>
    <sheet name="MAYO" sheetId="19" r:id="rId3"/>
    <sheet name="ABRIL" sheetId="18" state="hidden" r:id="rId4"/>
    <sheet name="MARZO" sheetId="17" state="hidden" r:id="rId5"/>
    <sheet name="FEBRERO" sheetId="16" state="hidden" r:id="rId6"/>
    <sheet name="ENERO" sheetId="9" state="hidden" r:id="rId7"/>
  </sheets>
  <definedNames>
    <definedName name="_xlnm._FilterDatabase" localSheetId="1" hidden="1">'LIBRO DE PRESUPUESTO'!$A$186:$K$232</definedName>
  </definedNames>
  <calcPr calcId="162913"/>
</workbook>
</file>

<file path=xl/calcChain.xml><?xml version="1.0" encoding="utf-8"?>
<calcChain xmlns="http://schemas.openxmlformats.org/spreadsheetml/2006/main">
  <c r="J317" i="15" l="1"/>
  <c r="J50" i="19" l="1"/>
  <c r="J396" i="15"/>
  <c r="J392" i="15" l="1"/>
  <c r="J44" i="19"/>
  <c r="J36" i="19"/>
  <c r="J33" i="19"/>
  <c r="J28" i="19"/>
  <c r="J65" i="19" l="1"/>
  <c r="J64" i="19"/>
  <c r="J63" i="19"/>
  <c r="J62" i="19"/>
  <c r="J61" i="19"/>
  <c r="J59" i="19"/>
  <c r="J39" i="19"/>
  <c r="J38" i="19"/>
  <c r="J37" i="19"/>
  <c r="J34" i="19"/>
  <c r="J13" i="19"/>
  <c r="J12" i="19"/>
  <c r="J11" i="19"/>
  <c r="J9" i="19"/>
  <c r="I33" i="19"/>
  <c r="L33" i="19" s="1"/>
  <c r="I35" i="19"/>
  <c r="L35" i="19" s="1"/>
  <c r="I27" i="19"/>
  <c r="I16" i="19"/>
  <c r="I18" i="19"/>
  <c r="L69" i="19"/>
  <c r="H69" i="19"/>
  <c r="L68" i="19"/>
  <c r="H68" i="19"/>
  <c r="K67" i="19"/>
  <c r="J67" i="19"/>
  <c r="I67" i="19"/>
  <c r="G67" i="19"/>
  <c r="F67" i="19"/>
  <c r="E67" i="19"/>
  <c r="D67" i="19"/>
  <c r="C67" i="19"/>
  <c r="H66" i="19"/>
  <c r="H65" i="19"/>
  <c r="H64" i="19"/>
  <c r="H63" i="19"/>
  <c r="H62" i="19"/>
  <c r="H61" i="19"/>
  <c r="H60" i="19"/>
  <c r="H59" i="19"/>
  <c r="H58" i="19"/>
  <c r="H57" i="19"/>
  <c r="G56" i="19"/>
  <c r="F56" i="19"/>
  <c r="E56" i="19"/>
  <c r="D56" i="19"/>
  <c r="D70" i="19" s="1"/>
  <c r="C56" i="19"/>
  <c r="H55" i="19"/>
  <c r="H54" i="19"/>
  <c r="H53" i="19"/>
  <c r="H52" i="19"/>
  <c r="G51" i="19"/>
  <c r="F51" i="19"/>
  <c r="E51" i="19"/>
  <c r="D51" i="19"/>
  <c r="C51" i="19"/>
  <c r="L50" i="19"/>
  <c r="H50" i="19"/>
  <c r="J49" i="19"/>
  <c r="I49" i="19"/>
  <c r="G49" i="19"/>
  <c r="F49" i="19"/>
  <c r="E49" i="19"/>
  <c r="D49" i="19"/>
  <c r="C49" i="19"/>
  <c r="H48" i="19"/>
  <c r="H47" i="19"/>
  <c r="H46" i="19"/>
  <c r="H45" i="19"/>
  <c r="H44" i="19"/>
  <c r="H43" i="19"/>
  <c r="F42" i="19"/>
  <c r="F31" i="19" s="1"/>
  <c r="H41" i="19"/>
  <c r="H40" i="19"/>
  <c r="C39" i="19"/>
  <c r="H39" i="19" s="1"/>
  <c r="C38" i="19"/>
  <c r="H38" i="19" s="1"/>
  <c r="C37" i="19"/>
  <c r="H37" i="19" s="1"/>
  <c r="H36" i="19"/>
  <c r="H35" i="19"/>
  <c r="H34" i="19"/>
  <c r="H33" i="19"/>
  <c r="E32" i="19"/>
  <c r="E31" i="19" s="1"/>
  <c r="G31" i="19"/>
  <c r="D31" i="19"/>
  <c r="H30" i="19"/>
  <c r="H29" i="19"/>
  <c r="H28" i="19"/>
  <c r="L27" i="19"/>
  <c r="H27" i="19"/>
  <c r="H26" i="19"/>
  <c r="J25" i="19"/>
  <c r="G25" i="19"/>
  <c r="F25" i="19"/>
  <c r="E25" i="19"/>
  <c r="D25" i="19"/>
  <c r="C25" i="19"/>
  <c r="H24" i="19"/>
  <c r="H23" i="19"/>
  <c r="H22" i="19"/>
  <c r="C21" i="19"/>
  <c r="H21" i="19" s="1"/>
  <c r="J20" i="19"/>
  <c r="G20" i="19"/>
  <c r="F20" i="19"/>
  <c r="E20" i="19"/>
  <c r="D20" i="19"/>
  <c r="H19" i="19"/>
  <c r="H18" i="19"/>
  <c r="M18" i="19" s="1"/>
  <c r="H17" i="19"/>
  <c r="H16" i="19"/>
  <c r="K16" i="19" s="1"/>
  <c r="H15" i="19"/>
  <c r="H14" i="19"/>
  <c r="H13" i="19"/>
  <c r="H12" i="19"/>
  <c r="H11" i="19"/>
  <c r="H10" i="19"/>
  <c r="G9" i="19"/>
  <c r="C9" i="19"/>
  <c r="C8" i="19" s="1"/>
  <c r="F8" i="19"/>
  <c r="E8" i="19"/>
  <c r="D8" i="19"/>
  <c r="K35" i="19" l="1"/>
  <c r="C20" i="19"/>
  <c r="H51" i="19"/>
  <c r="E70" i="19"/>
  <c r="L67" i="19"/>
  <c r="H9" i="19"/>
  <c r="H8" i="19" s="1"/>
  <c r="K18" i="19"/>
  <c r="C31" i="19"/>
  <c r="H32" i="19"/>
  <c r="M69" i="19"/>
  <c r="M33" i="19"/>
  <c r="L49" i="19"/>
  <c r="M50" i="19"/>
  <c r="N50" i="19" s="1"/>
  <c r="F70" i="19"/>
  <c r="G8" i="19"/>
  <c r="G70" i="19" s="1"/>
  <c r="K33" i="19"/>
  <c r="M27" i="19"/>
  <c r="H20" i="19"/>
  <c r="K27" i="19"/>
  <c r="H42" i="19"/>
  <c r="J8" i="19"/>
  <c r="M16" i="19"/>
  <c r="H25" i="19"/>
  <c r="J31" i="19"/>
  <c r="H56" i="19"/>
  <c r="M68" i="19"/>
  <c r="H67" i="19"/>
  <c r="M35" i="19"/>
  <c r="H49" i="19"/>
  <c r="J490" i="15"/>
  <c r="J60" i="19" s="1"/>
  <c r="J56" i="19" s="1"/>
  <c r="J443" i="15"/>
  <c r="J54" i="19" s="1"/>
  <c r="C70" i="19" l="1"/>
  <c r="M67" i="19"/>
  <c r="M49" i="19"/>
  <c r="N49" i="19" s="1"/>
  <c r="H31" i="19"/>
  <c r="H70" i="19" s="1"/>
  <c r="J429" i="15"/>
  <c r="J53" i="19" s="1"/>
  <c r="J51" i="19" s="1"/>
  <c r="J70" i="19" s="1"/>
  <c r="J34" i="18" l="1"/>
  <c r="L27" i="18"/>
  <c r="H27" i="18"/>
  <c r="H22" i="18"/>
  <c r="K27" i="18" l="1"/>
  <c r="M27" i="18"/>
  <c r="L35" i="18" l="1"/>
  <c r="H35" i="18"/>
  <c r="M35" i="18" s="1"/>
  <c r="H33" i="18"/>
  <c r="L33" i="18"/>
  <c r="J32" i="18"/>
  <c r="F110" i="15"/>
  <c r="K33" i="18" l="1"/>
  <c r="M33" i="18"/>
  <c r="K35" i="18"/>
  <c r="H36" i="18"/>
  <c r="J36" i="18"/>
  <c r="H18" i="18"/>
  <c r="H16" i="18"/>
  <c r="J65" i="18"/>
  <c r="J64" i="18"/>
  <c r="J63" i="18"/>
  <c r="J62" i="18"/>
  <c r="J61" i="18"/>
  <c r="J59" i="18"/>
  <c r="J53" i="18"/>
  <c r="J39" i="18"/>
  <c r="J38" i="18"/>
  <c r="J37" i="18"/>
  <c r="J28" i="18"/>
  <c r="J25" i="18" s="1"/>
  <c r="J13" i="18"/>
  <c r="J12" i="18"/>
  <c r="J11" i="18"/>
  <c r="J9" i="18"/>
  <c r="L69" i="18"/>
  <c r="H69" i="18"/>
  <c r="L68" i="18"/>
  <c r="H68" i="18"/>
  <c r="K67" i="18"/>
  <c r="J67" i="18"/>
  <c r="I67" i="18"/>
  <c r="G67" i="18"/>
  <c r="F67" i="18"/>
  <c r="E67" i="18"/>
  <c r="D67" i="18"/>
  <c r="C67" i="18"/>
  <c r="H66" i="18"/>
  <c r="H65" i="18"/>
  <c r="H64" i="18"/>
  <c r="H63" i="18"/>
  <c r="H62" i="18"/>
  <c r="H61" i="18"/>
  <c r="H60" i="18"/>
  <c r="H59" i="18"/>
  <c r="H58" i="18"/>
  <c r="H57" i="18"/>
  <c r="G56" i="18"/>
  <c r="F56" i="18"/>
  <c r="E56" i="18"/>
  <c r="D56" i="18"/>
  <c r="D70" i="18" s="1"/>
  <c r="C56" i="18"/>
  <c r="H55" i="18"/>
  <c r="H54" i="18"/>
  <c r="H53" i="18"/>
  <c r="H52" i="18"/>
  <c r="G51" i="18"/>
  <c r="F51" i="18"/>
  <c r="E51" i="18"/>
  <c r="D51" i="18"/>
  <c r="C51" i="18"/>
  <c r="L50" i="18"/>
  <c r="H50" i="18"/>
  <c r="J49" i="18"/>
  <c r="I49" i="18"/>
  <c r="G49" i="18"/>
  <c r="F49" i="18"/>
  <c r="E49" i="18"/>
  <c r="D49" i="18"/>
  <c r="C49" i="18"/>
  <c r="H48" i="18"/>
  <c r="H47" i="18"/>
  <c r="H46" i="18"/>
  <c r="H45" i="18"/>
  <c r="H44" i="18"/>
  <c r="H43" i="18"/>
  <c r="F42" i="18"/>
  <c r="H42" i="18" s="1"/>
  <c r="H41" i="18"/>
  <c r="H40" i="18"/>
  <c r="C39" i="18"/>
  <c r="H39" i="18" s="1"/>
  <c r="C38" i="18"/>
  <c r="C37" i="18"/>
  <c r="H37" i="18" s="1"/>
  <c r="H34" i="18"/>
  <c r="E32" i="18"/>
  <c r="E31" i="18" s="1"/>
  <c r="G31" i="18"/>
  <c r="D31" i="18"/>
  <c r="H30" i="18"/>
  <c r="H29" i="18"/>
  <c r="H28" i="18"/>
  <c r="H26" i="18"/>
  <c r="G25" i="18"/>
  <c r="F25" i="18"/>
  <c r="E25" i="18"/>
  <c r="D25" i="18"/>
  <c r="C25" i="18"/>
  <c r="H24" i="18"/>
  <c r="H23" i="18"/>
  <c r="C21" i="18"/>
  <c r="C20" i="18" s="1"/>
  <c r="J20" i="18"/>
  <c r="G20" i="18"/>
  <c r="F20" i="18"/>
  <c r="E20" i="18"/>
  <c r="D20" i="18"/>
  <c r="H19" i="18"/>
  <c r="H17" i="18"/>
  <c r="H15" i="18"/>
  <c r="H14" i="18"/>
  <c r="H13" i="18"/>
  <c r="H12" i="18"/>
  <c r="H11" i="18"/>
  <c r="H10" i="18"/>
  <c r="G9" i="18"/>
  <c r="G8" i="18" s="1"/>
  <c r="C9" i="18"/>
  <c r="C8" i="18" s="1"/>
  <c r="F8" i="18"/>
  <c r="E8" i="18"/>
  <c r="D8" i="18"/>
  <c r="M68" i="18" l="1"/>
  <c r="M69" i="18"/>
  <c r="M67" i="18" s="1"/>
  <c r="H49" i="18"/>
  <c r="M50" i="18"/>
  <c r="M49" i="18" s="1"/>
  <c r="N49" i="18" s="1"/>
  <c r="M16" i="18"/>
  <c r="K16" i="18"/>
  <c r="K18" i="18"/>
  <c r="M18" i="18"/>
  <c r="E70" i="18"/>
  <c r="H67" i="18"/>
  <c r="H51" i="18"/>
  <c r="H56" i="18"/>
  <c r="L49" i="18"/>
  <c r="H25" i="18"/>
  <c r="H32" i="18"/>
  <c r="H21" i="18"/>
  <c r="H20" i="18" s="1"/>
  <c r="F31" i="18"/>
  <c r="F70" i="18" s="1"/>
  <c r="L67" i="18"/>
  <c r="G70" i="18"/>
  <c r="C31" i="18"/>
  <c r="C70" i="18" s="1"/>
  <c r="J31" i="18"/>
  <c r="H38" i="18"/>
  <c r="J8" i="18"/>
  <c r="H9" i="18"/>
  <c r="J11" i="9"/>
  <c r="N50" i="18" l="1"/>
  <c r="H31" i="18"/>
  <c r="H8" i="18"/>
  <c r="J489" i="15"/>
  <c r="J60" i="18" s="1"/>
  <c r="J56" i="18" s="1"/>
  <c r="J442" i="15"/>
  <c r="J54" i="18" s="1"/>
  <c r="J51" i="18" s="1"/>
  <c r="J70" i="18" l="1"/>
  <c r="H70" i="18"/>
  <c r="E396" i="15" l="1"/>
  <c r="F396" i="15"/>
  <c r="G396" i="15"/>
  <c r="G395" i="15" s="1"/>
  <c r="H396" i="15"/>
  <c r="H395" i="15" s="1"/>
  <c r="J395" i="15"/>
  <c r="G392" i="15"/>
  <c r="I396" i="15" l="1"/>
  <c r="I395" i="15" s="1"/>
  <c r="K395" i="15" s="1"/>
  <c r="K396" i="15" l="1"/>
  <c r="J59" i="17"/>
  <c r="J58" i="17"/>
  <c r="J57" i="17"/>
  <c r="J56" i="17"/>
  <c r="J55" i="17"/>
  <c r="J53" i="17"/>
  <c r="E28" i="17"/>
  <c r="E27" i="17" s="1"/>
  <c r="J33" i="17"/>
  <c r="J36" i="17"/>
  <c r="F36" i="17"/>
  <c r="H36" i="17" s="1"/>
  <c r="J32" i="17"/>
  <c r="J31" i="17"/>
  <c r="J29" i="17"/>
  <c r="J28" i="17"/>
  <c r="J12" i="17"/>
  <c r="G9" i="17"/>
  <c r="J9" i="17"/>
  <c r="M63" i="17"/>
  <c r="H63" i="17"/>
  <c r="N63" i="17" s="1"/>
  <c r="M62" i="17"/>
  <c r="H62" i="17"/>
  <c r="N62" i="17" s="1"/>
  <c r="L61" i="17"/>
  <c r="K61" i="17"/>
  <c r="J61" i="17"/>
  <c r="I61" i="17"/>
  <c r="G61" i="17"/>
  <c r="F61" i="17"/>
  <c r="E61" i="17"/>
  <c r="D61" i="17"/>
  <c r="C61" i="17"/>
  <c r="H60" i="17"/>
  <c r="H59" i="17"/>
  <c r="H58" i="17"/>
  <c r="H57" i="17"/>
  <c r="H56" i="17"/>
  <c r="H55" i="17"/>
  <c r="H54" i="17"/>
  <c r="H53" i="17"/>
  <c r="H52" i="17"/>
  <c r="H51" i="17"/>
  <c r="G50" i="17"/>
  <c r="F50" i="17"/>
  <c r="E50" i="17"/>
  <c r="D50" i="17"/>
  <c r="D64" i="17" s="1"/>
  <c r="C50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I43" i="17"/>
  <c r="G43" i="17"/>
  <c r="F43" i="17"/>
  <c r="E43" i="17"/>
  <c r="D43" i="17"/>
  <c r="C43" i="17"/>
  <c r="H42" i="17"/>
  <c r="H41" i="17"/>
  <c r="H40" i="17"/>
  <c r="H39" i="17"/>
  <c r="H38" i="17"/>
  <c r="H37" i="17"/>
  <c r="H35" i="17"/>
  <c r="H34" i="17"/>
  <c r="C33" i="17"/>
  <c r="H33" i="17" s="1"/>
  <c r="C32" i="17"/>
  <c r="H32" i="17" s="1"/>
  <c r="C31" i="17"/>
  <c r="H30" i="17"/>
  <c r="H29" i="17"/>
  <c r="G27" i="17"/>
  <c r="D27" i="17"/>
  <c r="H26" i="17"/>
  <c r="H25" i="17"/>
  <c r="H24" i="17"/>
  <c r="H23" i="17"/>
  <c r="G22" i="17"/>
  <c r="F22" i="17"/>
  <c r="E22" i="17"/>
  <c r="D22" i="17"/>
  <c r="C22" i="17"/>
  <c r="H21" i="17"/>
  <c r="H20" i="17"/>
  <c r="C19" i="17"/>
  <c r="H19" i="17" s="1"/>
  <c r="J18" i="17"/>
  <c r="G18" i="17"/>
  <c r="F18" i="17"/>
  <c r="E18" i="17"/>
  <c r="D18" i="17"/>
  <c r="H17" i="17"/>
  <c r="H16" i="17"/>
  <c r="H15" i="17"/>
  <c r="H14" i="17"/>
  <c r="H13" i="17"/>
  <c r="H12" i="17"/>
  <c r="H11" i="17"/>
  <c r="H10" i="17"/>
  <c r="C9" i="17"/>
  <c r="C8" i="17" s="1"/>
  <c r="F8" i="17"/>
  <c r="E8" i="17"/>
  <c r="D8" i="17"/>
  <c r="H28" i="17" l="1"/>
  <c r="H18" i="17"/>
  <c r="H22" i="17"/>
  <c r="C18" i="17"/>
  <c r="M43" i="17"/>
  <c r="H61" i="17"/>
  <c r="E64" i="17"/>
  <c r="H50" i="17"/>
  <c r="M61" i="17"/>
  <c r="N61" i="17"/>
  <c r="H9" i="17"/>
  <c r="H8" i="17" s="1"/>
  <c r="F27" i="17"/>
  <c r="F64" i="17" s="1"/>
  <c r="G8" i="17"/>
  <c r="G64" i="17" s="1"/>
  <c r="H31" i="17"/>
  <c r="C27" i="17"/>
  <c r="N44" i="17"/>
  <c r="O44" i="17" s="1"/>
  <c r="H43" i="17"/>
  <c r="J27" i="17"/>
  <c r="J22" i="17"/>
  <c r="K43" i="17"/>
  <c r="H45" i="17"/>
  <c r="J488" i="15"/>
  <c r="J54" i="17" s="1"/>
  <c r="J50" i="17" s="1"/>
  <c r="J427" i="15"/>
  <c r="J47" i="17" s="1"/>
  <c r="J441" i="15"/>
  <c r="J48" i="17" s="1"/>
  <c r="J25" i="15"/>
  <c r="J11" i="17" s="1"/>
  <c r="J8" i="17" s="1"/>
  <c r="C64" i="17" l="1"/>
  <c r="J45" i="17"/>
  <c r="J64" i="17" s="1"/>
  <c r="N43" i="17"/>
  <c r="O43" i="17" s="1"/>
  <c r="H27" i="17"/>
  <c r="H64" i="17" s="1"/>
  <c r="J32" i="16" l="1"/>
  <c r="J291" i="15" l="1"/>
  <c r="J59" i="16"/>
  <c r="J58" i="16"/>
  <c r="J57" i="16"/>
  <c r="J56" i="16"/>
  <c r="J55" i="16"/>
  <c r="J53" i="16"/>
  <c r="J51" i="16"/>
  <c r="J33" i="16"/>
  <c r="J31" i="16"/>
  <c r="J29" i="16"/>
  <c r="J29" i="9"/>
  <c r="I29" i="16" s="1"/>
  <c r="J13" i="16"/>
  <c r="J24" i="16"/>
  <c r="J22" i="16" s="1"/>
  <c r="J11" i="16"/>
  <c r="J9" i="16"/>
  <c r="I52" i="16"/>
  <c r="I52" i="17" s="1"/>
  <c r="I60" i="16"/>
  <c r="I60" i="17" s="1"/>
  <c r="I51" i="16"/>
  <c r="I49" i="16"/>
  <c r="I49" i="17" s="1"/>
  <c r="I46" i="16"/>
  <c r="I34" i="16"/>
  <c r="I35" i="16"/>
  <c r="I35" i="17" s="1"/>
  <c r="I36" i="16"/>
  <c r="K36" i="16" s="1"/>
  <c r="I37" i="16"/>
  <c r="I37" i="17" s="1"/>
  <c r="I38" i="16"/>
  <c r="I39" i="16"/>
  <c r="I39" i="17" s="1"/>
  <c r="I40" i="16"/>
  <c r="M40" i="16" s="1"/>
  <c r="I41" i="16"/>
  <c r="I41" i="17" s="1"/>
  <c r="I42" i="16"/>
  <c r="I42" i="17" s="1"/>
  <c r="I25" i="16"/>
  <c r="I25" i="17" s="1"/>
  <c r="I26" i="16"/>
  <c r="I26" i="17" s="1"/>
  <c r="I23" i="16"/>
  <c r="I23" i="17" s="1"/>
  <c r="I20" i="16"/>
  <c r="I20" i="17" s="1"/>
  <c r="I21" i="16"/>
  <c r="I21" i="17" s="1"/>
  <c r="I10" i="16"/>
  <c r="I13" i="16"/>
  <c r="I14" i="16"/>
  <c r="I16" i="16"/>
  <c r="I16" i="17" s="1"/>
  <c r="I17" i="16"/>
  <c r="I17" i="17" s="1"/>
  <c r="M63" i="16"/>
  <c r="H63" i="16"/>
  <c r="N63" i="16" s="1"/>
  <c r="M62" i="16"/>
  <c r="H62" i="16"/>
  <c r="N62" i="16" s="1"/>
  <c r="L61" i="16"/>
  <c r="K61" i="16"/>
  <c r="J61" i="16"/>
  <c r="I61" i="16"/>
  <c r="G61" i="16"/>
  <c r="F61" i="16"/>
  <c r="E61" i="16"/>
  <c r="D61" i="16"/>
  <c r="C61" i="16"/>
  <c r="K60" i="16"/>
  <c r="H60" i="16"/>
  <c r="H59" i="16"/>
  <c r="H58" i="16"/>
  <c r="H57" i="16"/>
  <c r="H56" i="16"/>
  <c r="H55" i="16"/>
  <c r="H54" i="16"/>
  <c r="H53" i="16"/>
  <c r="M52" i="16"/>
  <c r="H52" i="16"/>
  <c r="H51" i="16"/>
  <c r="G50" i="16"/>
  <c r="F50" i="16"/>
  <c r="E50" i="16"/>
  <c r="D50" i="16"/>
  <c r="D64" i="16" s="1"/>
  <c r="C50" i="16"/>
  <c r="H49" i="16"/>
  <c r="H48" i="16"/>
  <c r="H47" i="16"/>
  <c r="H46" i="16"/>
  <c r="G45" i="16"/>
  <c r="F45" i="16"/>
  <c r="E45" i="16"/>
  <c r="D45" i="16"/>
  <c r="C45" i="16"/>
  <c r="M44" i="16"/>
  <c r="H44" i="16"/>
  <c r="N44" i="16" s="1"/>
  <c r="O44" i="16" s="1"/>
  <c r="J43" i="16"/>
  <c r="I43" i="16"/>
  <c r="G43" i="16"/>
  <c r="F43" i="16"/>
  <c r="E43" i="16"/>
  <c r="D43" i="16"/>
  <c r="C43" i="16"/>
  <c r="H42" i="16"/>
  <c r="K41" i="16"/>
  <c r="H41" i="16"/>
  <c r="H40" i="16"/>
  <c r="H39" i="16"/>
  <c r="M38" i="16"/>
  <c r="H38" i="16"/>
  <c r="K37" i="16"/>
  <c r="H37" i="16"/>
  <c r="H36" i="16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H26" i="16"/>
  <c r="H25" i="16"/>
  <c r="H24" i="16"/>
  <c r="M23" i="16"/>
  <c r="H23" i="16"/>
  <c r="G22" i="16"/>
  <c r="F22" i="16"/>
  <c r="E22" i="16"/>
  <c r="D22" i="16"/>
  <c r="C22" i="16"/>
  <c r="H21" i="16"/>
  <c r="H20" i="16"/>
  <c r="C19" i="16"/>
  <c r="H19" i="16" s="1"/>
  <c r="G18" i="16"/>
  <c r="F18" i="16"/>
  <c r="E18" i="16"/>
  <c r="D18" i="16"/>
  <c r="H17" i="16"/>
  <c r="M16" i="16"/>
  <c r="H16" i="16"/>
  <c r="H15" i="16"/>
  <c r="H14" i="16"/>
  <c r="H13" i="16"/>
  <c r="H12" i="16"/>
  <c r="H11" i="16"/>
  <c r="H10" i="16"/>
  <c r="C9" i="16"/>
  <c r="G8" i="16"/>
  <c r="F8" i="16"/>
  <c r="E8" i="16"/>
  <c r="D8" i="16"/>
  <c r="M21" i="16" l="1"/>
  <c r="E64" i="16"/>
  <c r="M39" i="16"/>
  <c r="K23" i="16"/>
  <c r="M37" i="16"/>
  <c r="M41" i="16"/>
  <c r="K52" i="16"/>
  <c r="N61" i="16"/>
  <c r="M60" i="16"/>
  <c r="N37" i="16"/>
  <c r="O37" i="16" s="1"/>
  <c r="K21" i="16"/>
  <c r="N21" i="16" s="1"/>
  <c r="K25" i="16"/>
  <c r="N25" i="16" s="1"/>
  <c r="O25" i="16" s="1"/>
  <c r="K35" i="16"/>
  <c r="N35" i="16" s="1"/>
  <c r="K16" i="16"/>
  <c r="N16" i="16" s="1"/>
  <c r="O16" i="16" s="1"/>
  <c r="M25" i="16"/>
  <c r="M35" i="16"/>
  <c r="K39" i="16"/>
  <c r="N39" i="16" s="1"/>
  <c r="O39" i="16" s="1"/>
  <c r="H22" i="16"/>
  <c r="K26" i="16"/>
  <c r="N26" i="16" s="1"/>
  <c r="G64" i="16"/>
  <c r="M26" i="16"/>
  <c r="L39" i="16"/>
  <c r="H50" i="16"/>
  <c r="L16" i="16"/>
  <c r="C18" i="16"/>
  <c r="L36" i="16"/>
  <c r="N41" i="16"/>
  <c r="H43" i="16"/>
  <c r="M61" i="16"/>
  <c r="M17" i="17"/>
  <c r="I19" i="18"/>
  <c r="K17" i="17"/>
  <c r="M10" i="16"/>
  <c r="I10" i="17"/>
  <c r="I30" i="18"/>
  <c r="M26" i="17"/>
  <c r="K26" i="17"/>
  <c r="N26" i="17" s="1"/>
  <c r="K40" i="16"/>
  <c r="L40" i="16" s="1"/>
  <c r="I40" i="17"/>
  <c r="M36" i="16"/>
  <c r="I36" i="17"/>
  <c r="I55" i="18"/>
  <c r="K49" i="17"/>
  <c r="M49" i="17"/>
  <c r="I51" i="17"/>
  <c r="I57" i="18" s="1"/>
  <c r="I17" i="18"/>
  <c r="M16" i="17"/>
  <c r="K16" i="17"/>
  <c r="I24" i="18"/>
  <c r="K21" i="17"/>
  <c r="N21" i="17" s="1"/>
  <c r="M21" i="17"/>
  <c r="I29" i="18"/>
  <c r="M25" i="17"/>
  <c r="K25" i="17"/>
  <c r="I45" i="18"/>
  <c r="K39" i="17"/>
  <c r="M39" i="17"/>
  <c r="I41" i="18"/>
  <c r="M35" i="17"/>
  <c r="K35" i="17"/>
  <c r="N35" i="17" s="1"/>
  <c r="L37" i="16"/>
  <c r="M43" i="16"/>
  <c r="K14" i="16"/>
  <c r="L14" i="16" s="1"/>
  <c r="I14" i="17"/>
  <c r="I22" i="18"/>
  <c r="I23" i="18"/>
  <c r="K20" i="17"/>
  <c r="N20" i="17" s="1"/>
  <c r="M20" i="17"/>
  <c r="M42" i="17"/>
  <c r="I48" i="18"/>
  <c r="K42" i="17"/>
  <c r="N42" i="17" s="1"/>
  <c r="O42" i="17" s="1"/>
  <c r="K38" i="16"/>
  <c r="L38" i="16" s="1"/>
  <c r="I38" i="17"/>
  <c r="K34" i="16"/>
  <c r="L34" i="16" s="1"/>
  <c r="I34" i="17"/>
  <c r="I66" i="18"/>
  <c r="K60" i="17"/>
  <c r="N60" i="17" s="1"/>
  <c r="M60" i="17"/>
  <c r="I26" i="18"/>
  <c r="K23" i="17"/>
  <c r="N23" i="17" s="1"/>
  <c r="M23" i="17"/>
  <c r="I47" i="18"/>
  <c r="M41" i="17"/>
  <c r="K41" i="17"/>
  <c r="N41" i="17" s="1"/>
  <c r="I43" i="18"/>
  <c r="K37" i="17"/>
  <c r="M37" i="17"/>
  <c r="M46" i="16"/>
  <c r="I46" i="17"/>
  <c r="I58" i="18"/>
  <c r="M52" i="17"/>
  <c r="K52" i="17"/>
  <c r="N52" i="17" s="1"/>
  <c r="I13" i="17"/>
  <c r="I13" i="18" s="1"/>
  <c r="I29" i="17"/>
  <c r="I34" i="18" s="1"/>
  <c r="M29" i="16"/>
  <c r="K29" i="16"/>
  <c r="L29" i="16" s="1"/>
  <c r="N60" i="16"/>
  <c r="K46" i="16"/>
  <c r="N46" i="16" s="1"/>
  <c r="O46" i="16" s="1"/>
  <c r="N36" i="16"/>
  <c r="O36" i="16" s="1"/>
  <c r="M14" i="16"/>
  <c r="F64" i="16"/>
  <c r="H18" i="16"/>
  <c r="M20" i="16"/>
  <c r="K20" i="16"/>
  <c r="C27" i="16"/>
  <c r="H31" i="16"/>
  <c r="M49" i="16"/>
  <c r="K49" i="16"/>
  <c r="C8" i="16"/>
  <c r="C64" i="16" s="1"/>
  <c r="H9" i="16"/>
  <c r="N14" i="16"/>
  <c r="O14" i="16" s="1"/>
  <c r="N23" i="16"/>
  <c r="M13" i="16"/>
  <c r="K13" i="16"/>
  <c r="H45" i="16"/>
  <c r="M17" i="16"/>
  <c r="K17" i="16"/>
  <c r="J27" i="16"/>
  <c r="M42" i="16"/>
  <c r="K42" i="16"/>
  <c r="N42" i="16" s="1"/>
  <c r="O42" i="16" s="1"/>
  <c r="K43" i="16"/>
  <c r="M51" i="16"/>
  <c r="K51" i="16"/>
  <c r="J18" i="16"/>
  <c r="K10" i="16"/>
  <c r="N10" i="16" s="1"/>
  <c r="N52" i="16"/>
  <c r="H61" i="16"/>
  <c r="I57" i="19" l="1"/>
  <c r="N34" i="16"/>
  <c r="O34" i="16" s="1"/>
  <c r="L46" i="16"/>
  <c r="N38" i="16"/>
  <c r="O38" i="16" s="1"/>
  <c r="N43" i="16"/>
  <c r="O43" i="16" s="1"/>
  <c r="N40" i="16"/>
  <c r="O40" i="16" s="1"/>
  <c r="L25" i="16"/>
  <c r="M51" i="17"/>
  <c r="L58" i="18"/>
  <c r="M58" i="18" s="1"/>
  <c r="I58" i="19"/>
  <c r="L58" i="19" s="1"/>
  <c r="M58" i="19" s="1"/>
  <c r="L47" i="18"/>
  <c r="M47" i="18" s="1"/>
  <c r="I47" i="19"/>
  <c r="L47" i="19" s="1"/>
  <c r="M47" i="19" s="1"/>
  <c r="L48" i="18"/>
  <c r="M48" i="18" s="1"/>
  <c r="N48" i="18" s="1"/>
  <c r="I48" i="19"/>
  <c r="L48" i="19" s="1"/>
  <c r="L23" i="18"/>
  <c r="M23" i="18" s="1"/>
  <c r="I23" i="19"/>
  <c r="L23" i="19" s="1"/>
  <c r="M23" i="19" s="1"/>
  <c r="L41" i="18"/>
  <c r="M41" i="18" s="1"/>
  <c r="I41" i="19"/>
  <c r="L41" i="19" s="1"/>
  <c r="M41" i="19" s="1"/>
  <c r="L17" i="18"/>
  <c r="M17" i="18" s="1"/>
  <c r="N17" i="18" s="1"/>
  <c r="I17" i="19"/>
  <c r="L17" i="19" s="1"/>
  <c r="L55" i="18"/>
  <c r="K55" i="18" s="1"/>
  <c r="I55" i="19"/>
  <c r="L55" i="19" s="1"/>
  <c r="L43" i="18"/>
  <c r="I43" i="19"/>
  <c r="L43" i="19" s="1"/>
  <c r="L22" i="18"/>
  <c r="M22" i="18" s="1"/>
  <c r="I22" i="19"/>
  <c r="L22" i="19" s="1"/>
  <c r="M22" i="19" s="1"/>
  <c r="L24" i="18"/>
  <c r="M24" i="18" s="1"/>
  <c r="I24" i="19"/>
  <c r="L24" i="19" s="1"/>
  <c r="M24" i="19" s="1"/>
  <c r="L66" i="18"/>
  <c r="M66" i="18" s="1"/>
  <c r="I66" i="19"/>
  <c r="L66" i="19" s="1"/>
  <c r="M66" i="19" s="1"/>
  <c r="L29" i="18"/>
  <c r="I29" i="19"/>
  <c r="L29" i="19" s="1"/>
  <c r="L26" i="18"/>
  <c r="M26" i="18" s="1"/>
  <c r="I26" i="19"/>
  <c r="L26" i="19" s="1"/>
  <c r="L45" i="18"/>
  <c r="K45" i="18" s="1"/>
  <c r="I45" i="19"/>
  <c r="L45" i="19" s="1"/>
  <c r="L30" i="18"/>
  <c r="M30" i="18" s="1"/>
  <c r="I30" i="19"/>
  <c r="L30" i="19" s="1"/>
  <c r="M30" i="19" s="1"/>
  <c r="L19" i="18"/>
  <c r="M19" i="18" s="1"/>
  <c r="N19" i="18" s="1"/>
  <c r="I19" i="19"/>
  <c r="L19" i="19" s="1"/>
  <c r="L57" i="18"/>
  <c r="K57" i="18" s="1"/>
  <c r="K51" i="17"/>
  <c r="L51" i="17" s="1"/>
  <c r="L34" i="18"/>
  <c r="M34" i="18" s="1"/>
  <c r="N34" i="18" s="1"/>
  <c r="I34" i="19"/>
  <c r="L34" i="19" s="1"/>
  <c r="L13" i="18"/>
  <c r="I13" i="19"/>
  <c r="L13" i="19" s="1"/>
  <c r="L57" i="19"/>
  <c r="M13" i="17"/>
  <c r="K13" i="17"/>
  <c r="L13" i="17" s="1"/>
  <c r="I14" i="18"/>
  <c r="K14" i="17"/>
  <c r="M14" i="17"/>
  <c r="L39" i="17"/>
  <c r="N39" i="17"/>
  <c r="O39" i="17" s="1"/>
  <c r="K29" i="18"/>
  <c r="M29" i="18"/>
  <c r="N29" i="18" s="1"/>
  <c r="L16" i="17"/>
  <c r="N16" i="17"/>
  <c r="O16" i="17" s="1"/>
  <c r="N17" i="17"/>
  <c r="O17" i="17" s="1"/>
  <c r="L17" i="17"/>
  <c r="K26" i="18"/>
  <c r="I40" i="18"/>
  <c r="M34" i="17"/>
  <c r="K34" i="17"/>
  <c r="M45" i="18"/>
  <c r="N45" i="18" s="1"/>
  <c r="L49" i="17"/>
  <c r="N49" i="17"/>
  <c r="O49" i="17" s="1"/>
  <c r="I46" i="18"/>
  <c r="M40" i="17"/>
  <c r="K40" i="17"/>
  <c r="K19" i="18"/>
  <c r="N37" i="17"/>
  <c r="O37" i="17" s="1"/>
  <c r="L37" i="17"/>
  <c r="N25" i="17"/>
  <c r="O25" i="17" s="1"/>
  <c r="L25" i="17"/>
  <c r="K17" i="18"/>
  <c r="I10" i="18"/>
  <c r="K10" i="17"/>
  <c r="N10" i="17" s="1"/>
  <c r="M10" i="17"/>
  <c r="K46" i="17"/>
  <c r="I52" i="18"/>
  <c r="M46" i="17"/>
  <c r="K43" i="18"/>
  <c r="M43" i="18"/>
  <c r="N43" i="18" s="1"/>
  <c r="M38" i="17"/>
  <c r="I44" i="18"/>
  <c r="K38" i="17"/>
  <c r="I42" i="18"/>
  <c r="M36" i="17"/>
  <c r="K36" i="17"/>
  <c r="K34" i="18"/>
  <c r="N29" i="16"/>
  <c r="O29" i="16" s="1"/>
  <c r="K29" i="17"/>
  <c r="M29" i="17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J440" i="15"/>
  <c r="J48" i="16" s="1"/>
  <c r="J487" i="15"/>
  <c r="J54" i="16" s="1"/>
  <c r="J50" i="16" s="1"/>
  <c r="M57" i="18" l="1"/>
  <c r="K48" i="18"/>
  <c r="N51" i="17"/>
  <c r="O51" i="17" s="1"/>
  <c r="M55" i="18"/>
  <c r="N55" i="18" s="1"/>
  <c r="N13" i="17"/>
  <c r="O13" i="17" s="1"/>
  <c r="H64" i="16"/>
  <c r="K19" i="19"/>
  <c r="M19" i="19"/>
  <c r="N19" i="19" s="1"/>
  <c r="K45" i="19"/>
  <c r="M45" i="19"/>
  <c r="N45" i="19" s="1"/>
  <c r="K29" i="19"/>
  <c r="M29" i="19"/>
  <c r="N29" i="19" s="1"/>
  <c r="K43" i="19"/>
  <c r="M43" i="19"/>
  <c r="N43" i="19" s="1"/>
  <c r="K17" i="19"/>
  <c r="M17" i="19"/>
  <c r="N17" i="19" s="1"/>
  <c r="L40" i="18"/>
  <c r="K40" i="18" s="1"/>
  <c r="I40" i="19"/>
  <c r="L40" i="19" s="1"/>
  <c r="L46" i="18"/>
  <c r="K46" i="18" s="1"/>
  <c r="I46" i="19"/>
  <c r="L46" i="19" s="1"/>
  <c r="L14" i="18"/>
  <c r="K14" i="18" s="1"/>
  <c r="I14" i="19"/>
  <c r="L14" i="19" s="1"/>
  <c r="K26" i="19"/>
  <c r="M26" i="19"/>
  <c r="K55" i="19"/>
  <c r="M55" i="19"/>
  <c r="N55" i="19" s="1"/>
  <c r="K48" i="19"/>
  <c r="M48" i="19"/>
  <c r="N48" i="19" s="1"/>
  <c r="L44" i="18"/>
  <c r="K44" i="18" s="1"/>
  <c r="I44" i="19"/>
  <c r="L44" i="19" s="1"/>
  <c r="L52" i="18"/>
  <c r="K52" i="18" s="1"/>
  <c r="I52" i="19"/>
  <c r="L52" i="19" s="1"/>
  <c r="L10" i="18"/>
  <c r="M10" i="18" s="1"/>
  <c r="I10" i="19"/>
  <c r="L10" i="19" s="1"/>
  <c r="M10" i="19" s="1"/>
  <c r="M13" i="19"/>
  <c r="N13" i="19" s="1"/>
  <c r="K13" i="19"/>
  <c r="L42" i="18"/>
  <c r="M42" i="18" s="1"/>
  <c r="N42" i="18" s="1"/>
  <c r="I42" i="19"/>
  <c r="L42" i="19" s="1"/>
  <c r="K13" i="18"/>
  <c r="M13" i="18"/>
  <c r="N13" i="18" s="1"/>
  <c r="K34" i="19"/>
  <c r="M34" i="19"/>
  <c r="N34" i="19" s="1"/>
  <c r="K57" i="19"/>
  <c r="M57" i="19"/>
  <c r="N34" i="17"/>
  <c r="O34" i="17" s="1"/>
  <c r="L34" i="17"/>
  <c r="N46" i="17"/>
  <c r="O46" i="17" s="1"/>
  <c r="L46" i="17"/>
  <c r="N40" i="17"/>
  <c r="O40" i="17" s="1"/>
  <c r="L40" i="17"/>
  <c r="L38" i="17"/>
  <c r="N38" i="17"/>
  <c r="O38" i="17" s="1"/>
  <c r="M40" i="18"/>
  <c r="N40" i="18" s="1"/>
  <c r="N14" i="17"/>
  <c r="O14" i="17" s="1"/>
  <c r="L14" i="17"/>
  <c r="N36" i="17"/>
  <c r="O36" i="17" s="1"/>
  <c r="L36" i="17"/>
  <c r="M14" i="18"/>
  <c r="N14" i="18" s="1"/>
  <c r="N57" i="18"/>
  <c r="L29" i="17"/>
  <c r="N29" i="17"/>
  <c r="O29" i="17" s="1"/>
  <c r="O51" i="16"/>
  <c r="O49" i="16"/>
  <c r="J426" i="15"/>
  <c r="J47" i="16" s="1"/>
  <c r="J45" i="16" s="1"/>
  <c r="J38" i="15"/>
  <c r="J12" i="16" s="1"/>
  <c r="J8" i="16" s="1"/>
  <c r="M44" i="18" l="1"/>
  <c r="N44" i="18" s="1"/>
  <c r="K42" i="18"/>
  <c r="M52" i="18"/>
  <c r="N52" i="18" s="1"/>
  <c r="M46" i="18"/>
  <c r="N46" i="18" s="1"/>
  <c r="K44" i="19"/>
  <c r="M44" i="19"/>
  <c r="N44" i="19" s="1"/>
  <c r="K14" i="19"/>
  <c r="M14" i="19"/>
  <c r="N14" i="19" s="1"/>
  <c r="K40" i="19"/>
  <c r="M40" i="19"/>
  <c r="N40" i="19" s="1"/>
  <c r="K52" i="19"/>
  <c r="M52" i="19"/>
  <c r="N52" i="19" s="1"/>
  <c r="M46" i="19"/>
  <c r="N46" i="19" s="1"/>
  <c r="K46" i="19"/>
  <c r="M42" i="19"/>
  <c r="N42" i="19" s="1"/>
  <c r="K42" i="19"/>
  <c r="N57" i="19"/>
  <c r="J64" i="16"/>
  <c r="J43" i="9"/>
  <c r="J59" i="9"/>
  <c r="I59" i="16" s="1"/>
  <c r="I59" i="17" s="1"/>
  <c r="I65" i="18" s="1"/>
  <c r="J58" i="9"/>
  <c r="I58" i="16" s="1"/>
  <c r="I58" i="17" s="1"/>
  <c r="I64" i="18" s="1"/>
  <c r="J57" i="9"/>
  <c r="I57" i="16" s="1"/>
  <c r="I57" i="17" s="1"/>
  <c r="I63" i="18" s="1"/>
  <c r="J56" i="9"/>
  <c r="I56" i="16" s="1"/>
  <c r="I56" i="17" s="1"/>
  <c r="I62" i="18" s="1"/>
  <c r="J55" i="9"/>
  <c r="I55" i="16" s="1"/>
  <c r="I55" i="17" s="1"/>
  <c r="I61" i="18" s="1"/>
  <c r="J53" i="9"/>
  <c r="I53" i="16" s="1"/>
  <c r="I53" i="17" s="1"/>
  <c r="I59" i="18" s="1"/>
  <c r="J33" i="9"/>
  <c r="I33" i="16" s="1"/>
  <c r="I33" i="17" s="1"/>
  <c r="I39" i="18" s="1"/>
  <c r="J32" i="9"/>
  <c r="I32" i="16" s="1"/>
  <c r="I32" i="17" s="1"/>
  <c r="I38" i="18" s="1"/>
  <c r="J31" i="9"/>
  <c r="I31" i="16" s="1"/>
  <c r="I31" i="17" s="1"/>
  <c r="I37" i="18" s="1"/>
  <c r="J30" i="9"/>
  <c r="I30" i="16" s="1"/>
  <c r="I30" i="17" s="1"/>
  <c r="I36" i="18" s="1"/>
  <c r="J28" i="9"/>
  <c r="I28" i="16" s="1"/>
  <c r="I28" i="17" s="1"/>
  <c r="I32" i="18" s="1"/>
  <c r="J24" i="9"/>
  <c r="I24" i="16" s="1"/>
  <c r="I24" i="17" s="1"/>
  <c r="I28" i="18" s="1"/>
  <c r="J15" i="9"/>
  <c r="I15" i="16" s="1"/>
  <c r="I15" i="17" s="1"/>
  <c r="I15" i="18" s="1"/>
  <c r="J19" i="9"/>
  <c r="J12" i="9"/>
  <c r="I12" i="16" s="1"/>
  <c r="I12" i="17" s="1"/>
  <c r="I12" i="18" s="1"/>
  <c r="I11" i="16"/>
  <c r="I11" i="17" s="1"/>
  <c r="I11" i="18" s="1"/>
  <c r="J9" i="9"/>
  <c r="I9" i="16" s="1"/>
  <c r="I9" i="17" s="1"/>
  <c r="I9" i="18" s="1"/>
  <c r="M44" i="9"/>
  <c r="I43" i="9"/>
  <c r="H44" i="9"/>
  <c r="H43" i="9" s="1"/>
  <c r="D43" i="9"/>
  <c r="E43" i="9"/>
  <c r="F43" i="9"/>
  <c r="G43" i="9"/>
  <c r="C43" i="9"/>
  <c r="C33" i="9"/>
  <c r="C32" i="9"/>
  <c r="C31" i="9"/>
  <c r="C19" i="9"/>
  <c r="C9" i="9"/>
  <c r="I59" i="19" l="1"/>
  <c r="I9" i="19"/>
  <c r="I28" i="19"/>
  <c r="I32" i="19"/>
  <c r="K43" i="9"/>
  <c r="L59" i="19"/>
  <c r="L64" i="18"/>
  <c r="K64" i="18" s="1"/>
  <c r="I64" i="19"/>
  <c r="L64" i="19" s="1"/>
  <c r="L15" i="18"/>
  <c r="K15" i="18" s="1"/>
  <c r="I15" i="19"/>
  <c r="L15" i="19" s="1"/>
  <c r="L61" i="18"/>
  <c r="K61" i="18" s="1"/>
  <c r="I61" i="19"/>
  <c r="L61" i="19" s="1"/>
  <c r="L11" i="18"/>
  <c r="K11" i="18" s="1"/>
  <c r="I11" i="19"/>
  <c r="L11" i="19" s="1"/>
  <c r="L28" i="19"/>
  <c r="I25" i="19"/>
  <c r="L25" i="19" s="1"/>
  <c r="K25" i="19" s="1"/>
  <c r="L38" i="18"/>
  <c r="K38" i="18" s="1"/>
  <c r="I38" i="19"/>
  <c r="L38" i="19" s="1"/>
  <c r="L62" i="18"/>
  <c r="K62" i="18" s="1"/>
  <c r="I62" i="19"/>
  <c r="L62" i="19" s="1"/>
  <c r="L36" i="18"/>
  <c r="K36" i="18" s="1"/>
  <c r="I36" i="19"/>
  <c r="L36" i="19" s="1"/>
  <c r="L9" i="19"/>
  <c r="L37" i="18"/>
  <c r="M37" i="18" s="1"/>
  <c r="N37" i="18" s="1"/>
  <c r="I37" i="19"/>
  <c r="L37" i="19" s="1"/>
  <c r="L65" i="18"/>
  <c r="M65" i="18" s="1"/>
  <c r="N65" i="18" s="1"/>
  <c r="I65" i="19"/>
  <c r="L65" i="19" s="1"/>
  <c r="L12" i="18"/>
  <c r="M12" i="18" s="1"/>
  <c r="N12" i="18" s="1"/>
  <c r="I12" i="19"/>
  <c r="L12" i="19" s="1"/>
  <c r="L32" i="19"/>
  <c r="L39" i="18"/>
  <c r="K39" i="18" s="1"/>
  <c r="I39" i="19"/>
  <c r="L39" i="19" s="1"/>
  <c r="L63" i="18"/>
  <c r="K63" i="18" s="1"/>
  <c r="I63" i="19"/>
  <c r="L63" i="19" s="1"/>
  <c r="N43" i="9"/>
  <c r="O43" i="9" s="1"/>
  <c r="N44" i="9"/>
  <c r="O44" i="9" s="1"/>
  <c r="L28" i="18"/>
  <c r="I25" i="18"/>
  <c r="L25" i="18" s="1"/>
  <c r="K25" i="18" s="1"/>
  <c r="L32" i="18"/>
  <c r="I31" i="18"/>
  <c r="L31" i="18" s="1"/>
  <c r="K31" i="18" s="1"/>
  <c r="L59" i="18"/>
  <c r="L9" i="18"/>
  <c r="I8" i="18"/>
  <c r="M61" i="18"/>
  <c r="N61" i="18" s="1"/>
  <c r="K12" i="17"/>
  <c r="M12" i="17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I8" i="17"/>
  <c r="M8" i="17" s="1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I21" i="18" s="1"/>
  <c r="K30" i="16"/>
  <c r="M30" i="16"/>
  <c r="M55" i="16"/>
  <c r="K55" i="16"/>
  <c r="K59" i="16"/>
  <c r="M59" i="16"/>
  <c r="K31" i="16"/>
  <c r="M31" i="16"/>
  <c r="M43" i="9"/>
  <c r="J579" i="15"/>
  <c r="G579" i="15"/>
  <c r="H579" i="15"/>
  <c r="F579" i="15"/>
  <c r="F569" i="15"/>
  <c r="H569" i="15"/>
  <c r="G569" i="15"/>
  <c r="J559" i="15"/>
  <c r="G559" i="15"/>
  <c r="H559" i="15"/>
  <c r="F559" i="15"/>
  <c r="J540" i="15"/>
  <c r="G540" i="15"/>
  <c r="H540" i="15"/>
  <c r="F540" i="15"/>
  <c r="J526" i="15"/>
  <c r="G526" i="15"/>
  <c r="H526" i="15"/>
  <c r="F526" i="15"/>
  <c r="J510" i="15"/>
  <c r="G510" i="15"/>
  <c r="H510" i="15"/>
  <c r="F510" i="15"/>
  <c r="J497" i="15"/>
  <c r="G497" i="15"/>
  <c r="H497" i="15"/>
  <c r="F497" i="15"/>
  <c r="J486" i="15"/>
  <c r="J54" i="9" s="1"/>
  <c r="I54" i="16" s="1"/>
  <c r="I54" i="17" s="1"/>
  <c r="G485" i="15"/>
  <c r="H485" i="15"/>
  <c r="F485" i="15"/>
  <c r="J473" i="15"/>
  <c r="G473" i="15"/>
  <c r="H473" i="15"/>
  <c r="F473" i="15"/>
  <c r="J458" i="15"/>
  <c r="G458" i="15"/>
  <c r="H458" i="15"/>
  <c r="F458" i="15"/>
  <c r="J439" i="15"/>
  <c r="J48" i="9" s="1"/>
  <c r="I48" i="16" s="1"/>
  <c r="I48" i="17" s="1"/>
  <c r="J425" i="15"/>
  <c r="J47" i="9" s="1"/>
  <c r="I47" i="16" s="1"/>
  <c r="I47" i="17" s="1"/>
  <c r="I21" i="19" l="1"/>
  <c r="M39" i="18"/>
  <c r="M64" i="18"/>
  <c r="N64" i="18" s="1"/>
  <c r="K37" i="18"/>
  <c r="J485" i="15"/>
  <c r="M15" i="18"/>
  <c r="N15" i="18" s="1"/>
  <c r="M38" i="18"/>
  <c r="N38" i="18" s="1"/>
  <c r="M36" i="18"/>
  <c r="N36" i="18" s="1"/>
  <c r="M11" i="18"/>
  <c r="N11" i="18" s="1"/>
  <c r="K12" i="18"/>
  <c r="K65" i="18"/>
  <c r="I31" i="19"/>
  <c r="L31" i="19" s="1"/>
  <c r="K31" i="19" s="1"/>
  <c r="I8" i="19"/>
  <c r="L8" i="19" s="1"/>
  <c r="K63" i="19"/>
  <c r="M63" i="19"/>
  <c r="N63" i="19" s="1"/>
  <c r="K62" i="19"/>
  <c r="M62" i="19"/>
  <c r="N62" i="19" s="1"/>
  <c r="K61" i="19"/>
  <c r="M61" i="19"/>
  <c r="N61" i="19" s="1"/>
  <c r="K64" i="19"/>
  <c r="M64" i="19"/>
  <c r="N64" i="19" s="1"/>
  <c r="K32" i="19"/>
  <c r="M32" i="19"/>
  <c r="K9" i="19"/>
  <c r="M9" i="19"/>
  <c r="M63" i="18"/>
  <c r="N63" i="18" s="1"/>
  <c r="M62" i="18"/>
  <c r="N62" i="18" s="1"/>
  <c r="K39" i="19"/>
  <c r="M39" i="19"/>
  <c r="K12" i="19"/>
  <c r="M12" i="19"/>
  <c r="N12" i="19" s="1"/>
  <c r="K37" i="19"/>
  <c r="M37" i="19"/>
  <c r="N37" i="19" s="1"/>
  <c r="K36" i="19"/>
  <c r="M36" i="19"/>
  <c r="N36" i="19" s="1"/>
  <c r="K38" i="19"/>
  <c r="M38" i="19"/>
  <c r="N38" i="19" s="1"/>
  <c r="K11" i="19"/>
  <c r="M11" i="19"/>
  <c r="N11" i="19" s="1"/>
  <c r="K15" i="19"/>
  <c r="M15" i="19"/>
  <c r="N15" i="19" s="1"/>
  <c r="K65" i="19"/>
  <c r="M65" i="19"/>
  <c r="N65" i="19" s="1"/>
  <c r="K28" i="19"/>
  <c r="M28" i="19"/>
  <c r="L21" i="19"/>
  <c r="I20" i="19"/>
  <c r="L20" i="19" s="1"/>
  <c r="K20" i="19" s="1"/>
  <c r="K59" i="19"/>
  <c r="M59" i="19"/>
  <c r="J569" i="15"/>
  <c r="I20" i="18"/>
  <c r="L20" i="18" s="1"/>
  <c r="K20" i="18" s="1"/>
  <c r="L21" i="18"/>
  <c r="K47" i="17"/>
  <c r="L47" i="17" s="1"/>
  <c r="I53" i="18"/>
  <c r="K9" i="18"/>
  <c r="M9" i="18"/>
  <c r="K32" i="18"/>
  <c r="M32" i="18"/>
  <c r="L8" i="18"/>
  <c r="K48" i="17"/>
  <c r="L48" i="17" s="1"/>
  <c r="I54" i="18"/>
  <c r="K54" i="17"/>
  <c r="L54" i="17" s="1"/>
  <c r="I60" i="18"/>
  <c r="K59" i="18"/>
  <c r="M59" i="18"/>
  <c r="M28" i="18"/>
  <c r="K28" i="18"/>
  <c r="M54" i="17"/>
  <c r="K54" i="16"/>
  <c r="L54" i="16" s="1"/>
  <c r="M47" i="16"/>
  <c r="K47" i="16"/>
  <c r="N47" i="16" s="1"/>
  <c r="M54" i="16"/>
  <c r="M47" i="17"/>
  <c r="I45" i="17"/>
  <c r="M45" i="17" s="1"/>
  <c r="I50" i="16"/>
  <c r="M50" i="16" s="1"/>
  <c r="M48" i="16"/>
  <c r="M48" i="17"/>
  <c r="I45" i="16"/>
  <c r="M45" i="16" s="1"/>
  <c r="K48" i="16"/>
  <c r="K45" i="16" s="1"/>
  <c r="L45" i="16" s="1"/>
  <c r="I50" i="17"/>
  <c r="M50" i="17" s="1"/>
  <c r="L53" i="17"/>
  <c r="N53" i="17"/>
  <c r="L15" i="17"/>
  <c r="N15" i="17"/>
  <c r="O15" i="17" s="1"/>
  <c r="N59" i="17"/>
  <c r="O59" i="17" s="1"/>
  <c r="L59" i="17"/>
  <c r="L28" i="17"/>
  <c r="K27" i="17"/>
  <c r="L27" i="17" s="1"/>
  <c r="N28" i="17"/>
  <c r="N12" i="17"/>
  <c r="O12" i="17" s="1"/>
  <c r="L12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K8" i="17"/>
  <c r="L8" i="17" s="1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N55" i="16"/>
  <c r="O55" i="16" s="1"/>
  <c r="L55" i="16"/>
  <c r="M19" i="16"/>
  <c r="K19" i="16"/>
  <c r="I18" i="16"/>
  <c r="M18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J450" i="15"/>
  <c r="G450" i="15"/>
  <c r="H450" i="15"/>
  <c r="F450" i="15"/>
  <c r="J438" i="15"/>
  <c r="G438" i="15"/>
  <c r="H438" i="15"/>
  <c r="F438" i="15"/>
  <c r="J424" i="15"/>
  <c r="G424" i="15"/>
  <c r="H424" i="15"/>
  <c r="F424" i="15"/>
  <c r="G414" i="15"/>
  <c r="H414" i="15"/>
  <c r="F414" i="15"/>
  <c r="J414" i="15"/>
  <c r="I60" i="19" l="1"/>
  <c r="L60" i="19" s="1"/>
  <c r="I53" i="19"/>
  <c r="L53" i="19" s="1"/>
  <c r="L54" i="18"/>
  <c r="M54" i="18" s="1"/>
  <c r="N54" i="18" s="1"/>
  <c r="I54" i="19"/>
  <c r="L54" i="19" s="1"/>
  <c r="K21" i="19"/>
  <c r="M21" i="19"/>
  <c r="K8" i="19"/>
  <c r="K45" i="17"/>
  <c r="L45" i="17" s="1"/>
  <c r="N59" i="19"/>
  <c r="N28" i="19"/>
  <c r="M25" i="19"/>
  <c r="N25" i="19" s="1"/>
  <c r="N9" i="19"/>
  <c r="M8" i="19"/>
  <c r="M31" i="19"/>
  <c r="N31" i="19" s="1"/>
  <c r="N32" i="19"/>
  <c r="I56" i="19"/>
  <c r="N47" i="17"/>
  <c r="O47" i="17" s="1"/>
  <c r="N48" i="17"/>
  <c r="O48" i="17" s="1"/>
  <c r="N54" i="17"/>
  <c r="O54" i="17" s="1"/>
  <c r="K54" i="18"/>
  <c r="I51" i="18"/>
  <c r="L53" i="18"/>
  <c r="L51" i="18" s="1"/>
  <c r="N54" i="16"/>
  <c r="O54" i="16" s="1"/>
  <c r="N59" i="18"/>
  <c r="L60" i="18"/>
  <c r="L56" i="18" s="1"/>
  <c r="I56" i="18"/>
  <c r="K8" i="18"/>
  <c r="M8" i="18"/>
  <c r="N9" i="18"/>
  <c r="K21" i="18"/>
  <c r="M21" i="18"/>
  <c r="M31" i="18"/>
  <c r="N31" i="18" s="1"/>
  <c r="N32" i="18"/>
  <c r="M25" i="18"/>
  <c r="N25" i="18" s="1"/>
  <c r="N28" i="18"/>
  <c r="K50" i="17"/>
  <c r="L50" i="17" s="1"/>
  <c r="I64" i="17"/>
  <c r="L47" i="16"/>
  <c r="K50" i="16"/>
  <c r="L50" i="16" s="1"/>
  <c r="M64" i="16"/>
  <c r="N48" i="16"/>
  <c r="O48" i="16" s="1"/>
  <c r="L48" i="16"/>
  <c r="M64" i="17"/>
  <c r="O24" i="17"/>
  <c r="N22" i="17"/>
  <c r="O22" i="17" s="1"/>
  <c r="K18" i="17"/>
  <c r="L18" i="17" s="1"/>
  <c r="N19" i="17"/>
  <c r="L19" i="17"/>
  <c r="N27" i="17"/>
  <c r="O27" i="17" s="1"/>
  <c r="O28" i="17"/>
  <c r="O9" i="17"/>
  <c r="N8" i="17"/>
  <c r="O53" i="17"/>
  <c r="O24" i="16"/>
  <c r="N22" i="16"/>
  <c r="O22" i="16" s="1"/>
  <c r="O47" i="16"/>
  <c r="O53" i="16"/>
  <c r="N27" i="16"/>
  <c r="O27" i="16" s="1"/>
  <c r="O28" i="16"/>
  <c r="O9" i="16"/>
  <c r="N8" i="16"/>
  <c r="N19" i="16"/>
  <c r="L19" i="16"/>
  <c r="K18" i="16"/>
  <c r="L18" i="16" s="1"/>
  <c r="I64" i="16"/>
  <c r="H110" i="15"/>
  <c r="G110" i="15"/>
  <c r="N45" i="17" l="1"/>
  <c r="O45" i="17" s="1"/>
  <c r="N50" i="17"/>
  <c r="O50" i="17" s="1"/>
  <c r="M54" i="19"/>
  <c r="N54" i="19" s="1"/>
  <c r="K54" i="19"/>
  <c r="K60" i="19"/>
  <c r="M60" i="19"/>
  <c r="L56" i="19"/>
  <c r="K56" i="19" s="1"/>
  <c r="N8" i="19"/>
  <c r="N21" i="19"/>
  <c r="M20" i="19"/>
  <c r="N20" i="19" s="1"/>
  <c r="K53" i="19"/>
  <c r="M53" i="19"/>
  <c r="L51" i="19"/>
  <c r="I51" i="19"/>
  <c r="I70" i="19" s="1"/>
  <c r="N50" i="16"/>
  <c r="O50" i="16" s="1"/>
  <c r="K56" i="18"/>
  <c r="N45" i="16"/>
  <c r="O45" i="16" s="1"/>
  <c r="N8" i="18"/>
  <c r="K60" i="18"/>
  <c r="M60" i="18"/>
  <c r="M53" i="18"/>
  <c r="K53" i="18"/>
  <c r="N21" i="18"/>
  <c r="M20" i="18"/>
  <c r="N20" i="18" s="1"/>
  <c r="I70" i="18"/>
  <c r="K64" i="17"/>
  <c r="L64" i="17" s="1"/>
  <c r="O8" i="17"/>
  <c r="N18" i="17"/>
  <c r="O18" i="17" s="1"/>
  <c r="O19" i="17"/>
  <c r="N18" i="16"/>
  <c r="O18" i="16" s="1"/>
  <c r="O19" i="16"/>
  <c r="K64" i="16"/>
  <c r="L64" i="16" s="1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K51" i="19" l="1"/>
  <c r="L70" i="19"/>
  <c r="N60" i="19"/>
  <c r="M56" i="19"/>
  <c r="N56" i="19" s="1"/>
  <c r="N53" i="19"/>
  <c r="M51" i="19"/>
  <c r="N53" i="18"/>
  <c r="M51" i="18"/>
  <c r="N60" i="18"/>
  <c r="M56" i="18"/>
  <c r="N56" i="18" s="1"/>
  <c r="K51" i="18"/>
  <c r="L70" i="18"/>
  <c r="N64" i="17"/>
  <c r="O64" i="17" s="1"/>
  <c r="N64" i="16"/>
  <c r="O64" i="16" s="1"/>
  <c r="H392" i="15"/>
  <c r="J385" i="15"/>
  <c r="G385" i="15"/>
  <c r="H385" i="15"/>
  <c r="F385" i="15"/>
  <c r="J380" i="15"/>
  <c r="G380" i="15"/>
  <c r="H380" i="15"/>
  <c r="F380" i="15"/>
  <c r="J373" i="15"/>
  <c r="G373" i="15"/>
  <c r="H373" i="15"/>
  <c r="F373" i="15"/>
  <c r="J363" i="15"/>
  <c r="G363" i="15"/>
  <c r="H363" i="15"/>
  <c r="F363" i="15"/>
  <c r="J354" i="15"/>
  <c r="G354" i="15"/>
  <c r="H354" i="15"/>
  <c r="F354" i="15"/>
  <c r="J339" i="15"/>
  <c r="G339" i="15"/>
  <c r="G317" i="15" s="1"/>
  <c r="H339" i="15"/>
  <c r="H317" i="15" s="1"/>
  <c r="F339" i="15"/>
  <c r="F317" i="15" s="1"/>
  <c r="J457" i="15"/>
  <c r="F457" i="15"/>
  <c r="G457" i="15"/>
  <c r="H457" i="15"/>
  <c r="E457" i="15"/>
  <c r="E413" i="15"/>
  <c r="J413" i="15"/>
  <c r="F413" i="15"/>
  <c r="F395" i="15" s="1"/>
  <c r="G413" i="15"/>
  <c r="H413" i="15"/>
  <c r="G291" i="15"/>
  <c r="H291" i="15"/>
  <c r="F291" i="15"/>
  <c r="F276" i="15"/>
  <c r="J276" i="15"/>
  <c r="G276" i="15"/>
  <c r="H276" i="15"/>
  <c r="F256" i="15"/>
  <c r="J256" i="15"/>
  <c r="G256" i="15"/>
  <c r="H256" i="15"/>
  <c r="J186" i="15"/>
  <c r="G186" i="15"/>
  <c r="H186" i="15"/>
  <c r="F186" i="15"/>
  <c r="J165" i="15"/>
  <c r="G165" i="15"/>
  <c r="H165" i="15"/>
  <c r="F165" i="15"/>
  <c r="E128" i="15"/>
  <c r="J154" i="15"/>
  <c r="G154" i="15"/>
  <c r="H154" i="15"/>
  <c r="F154" i="15"/>
  <c r="J140" i="15"/>
  <c r="G140" i="15"/>
  <c r="H140" i="15"/>
  <c r="F140" i="15"/>
  <c r="J129" i="15"/>
  <c r="G129" i="15"/>
  <c r="G128" i="15" s="1"/>
  <c r="H129" i="15"/>
  <c r="J110" i="15"/>
  <c r="J109" i="15" s="1"/>
  <c r="G109" i="15"/>
  <c r="H109" i="15"/>
  <c r="F109" i="15"/>
  <c r="F129" i="15"/>
  <c r="K70" i="19" l="1"/>
  <c r="N51" i="19"/>
  <c r="M70" i="19"/>
  <c r="G164" i="15"/>
  <c r="G127" i="15" s="1"/>
  <c r="J128" i="15"/>
  <c r="K70" i="18"/>
  <c r="N51" i="18"/>
  <c r="M70" i="18"/>
  <c r="N70" i="18" s="1"/>
  <c r="H164" i="15"/>
  <c r="F392" i="15"/>
  <c r="F164" i="15" s="1"/>
  <c r="J164" i="15"/>
  <c r="J127" i="15" s="1"/>
  <c r="I140" i="15"/>
  <c r="K140" i="15" s="1"/>
  <c r="F128" i="15"/>
  <c r="H128" i="15"/>
  <c r="J101" i="15"/>
  <c r="G101" i="15"/>
  <c r="H101" i="15"/>
  <c r="F101" i="15"/>
  <c r="J86" i="15"/>
  <c r="G86" i="15"/>
  <c r="H86" i="15"/>
  <c r="F86" i="15"/>
  <c r="J71" i="15"/>
  <c r="G71" i="15"/>
  <c r="H71" i="15"/>
  <c r="F71" i="15"/>
  <c r="J63" i="15"/>
  <c r="G63" i="15"/>
  <c r="H63" i="15"/>
  <c r="F63" i="15"/>
  <c r="G50" i="15"/>
  <c r="H50" i="15"/>
  <c r="F50" i="15"/>
  <c r="G36" i="15"/>
  <c r="H36" i="15"/>
  <c r="F36" i="15"/>
  <c r="G21" i="15"/>
  <c r="H21" i="15"/>
  <c r="F21" i="15"/>
  <c r="G4" i="15"/>
  <c r="H4" i="15"/>
  <c r="F4" i="15"/>
  <c r="J50" i="15"/>
  <c r="J36" i="15"/>
  <c r="J21" i="15"/>
  <c r="J4" i="15"/>
  <c r="I579" i="15"/>
  <c r="H578" i="15"/>
  <c r="G578" i="15"/>
  <c r="F578" i="15"/>
  <c r="E578" i="15"/>
  <c r="I569" i="15"/>
  <c r="K569" i="15" s="1"/>
  <c r="I559" i="15"/>
  <c r="K559" i="15" s="1"/>
  <c r="I540" i="15"/>
  <c r="K540" i="15" s="1"/>
  <c r="I526" i="15"/>
  <c r="K526" i="15" s="1"/>
  <c r="I510" i="15"/>
  <c r="K510" i="15" s="1"/>
  <c r="I497" i="15"/>
  <c r="K497" i="15" s="1"/>
  <c r="I485" i="15"/>
  <c r="K485" i="15" s="1"/>
  <c r="I473" i="15"/>
  <c r="K473" i="15" s="1"/>
  <c r="I469" i="15"/>
  <c r="I458" i="15"/>
  <c r="K458" i="15" s="1"/>
  <c r="I450" i="15"/>
  <c r="K450" i="15" s="1"/>
  <c r="I438" i="15"/>
  <c r="K438" i="15" s="1"/>
  <c r="I424" i="15"/>
  <c r="K424" i="15" s="1"/>
  <c r="I414" i="15"/>
  <c r="K414" i="15" s="1"/>
  <c r="I392" i="15"/>
  <c r="K392" i="15" s="1"/>
  <c r="I390" i="15"/>
  <c r="I385" i="15"/>
  <c r="K385" i="15" s="1"/>
  <c r="I380" i="15"/>
  <c r="K380" i="15" s="1"/>
  <c r="I373" i="15"/>
  <c r="K373" i="15" s="1"/>
  <c r="I363" i="15"/>
  <c r="K363" i="15" s="1"/>
  <c r="I354" i="15"/>
  <c r="K354" i="15" s="1"/>
  <c r="I350" i="15"/>
  <c r="I339" i="15"/>
  <c r="K339" i="15" s="1"/>
  <c r="E317" i="15"/>
  <c r="I317" i="15" s="1"/>
  <c r="K317" i="15" s="1"/>
  <c r="E291" i="15"/>
  <c r="E276" i="15"/>
  <c r="I256" i="15"/>
  <c r="K256" i="15" s="1"/>
  <c r="I186" i="15"/>
  <c r="I165" i="15"/>
  <c r="K165" i="15" s="1"/>
  <c r="I163" i="15"/>
  <c r="I154" i="15"/>
  <c r="I129" i="15"/>
  <c r="I126" i="15"/>
  <c r="I125" i="15"/>
  <c r="E110" i="15"/>
  <c r="E109" i="15" s="1"/>
  <c r="I19" i="15"/>
  <c r="E4" i="15"/>
  <c r="E3" i="15" s="1"/>
  <c r="I36" i="15" l="1"/>
  <c r="J585" i="15"/>
  <c r="N70" i="19"/>
  <c r="F127" i="15"/>
  <c r="H127" i="15"/>
  <c r="I128" i="15"/>
  <c r="E164" i="15"/>
  <c r="E127" i="15" s="1"/>
  <c r="K129" i="15"/>
  <c r="K186" i="15"/>
  <c r="I578" i="15"/>
  <c r="K579" i="15"/>
  <c r="F3" i="15"/>
  <c r="I413" i="15"/>
  <c r="K413" i="15" s="1"/>
  <c r="I457" i="15"/>
  <c r="K457" i="15" s="1"/>
  <c r="I21" i="15"/>
  <c r="K21" i="15" s="1"/>
  <c r="I71" i="15"/>
  <c r="K71" i="15" s="1"/>
  <c r="I101" i="15"/>
  <c r="K101" i="15" s="1"/>
  <c r="I276" i="15"/>
  <c r="K276" i="15" s="1"/>
  <c r="E585" i="15"/>
  <c r="G3" i="15"/>
  <c r="G585" i="15" s="1"/>
  <c r="I4" i="15"/>
  <c r="K4" i="15" s="1"/>
  <c r="I63" i="15"/>
  <c r="K63" i="15" s="1"/>
  <c r="H3" i="15"/>
  <c r="H585" i="15" s="1"/>
  <c r="K154" i="15"/>
  <c r="I86" i="15"/>
  <c r="K86" i="15" s="1"/>
  <c r="I50" i="15"/>
  <c r="K50" i="15" s="1"/>
  <c r="K36" i="15"/>
  <c r="J3" i="15"/>
  <c r="I110" i="15"/>
  <c r="I291" i="15"/>
  <c r="K291" i="15" s="1"/>
  <c r="C75" i="13"/>
  <c r="T76" i="13"/>
  <c r="G32" i="13"/>
  <c r="G25" i="13"/>
  <c r="G26" i="13"/>
  <c r="J26" i="13" s="1"/>
  <c r="G27" i="13"/>
  <c r="J27" i="13" s="1"/>
  <c r="G28" i="13"/>
  <c r="G29" i="13"/>
  <c r="G30" i="13"/>
  <c r="G31" i="13"/>
  <c r="O31" i="13"/>
  <c r="N31" i="13"/>
  <c r="M31" i="13"/>
  <c r="L31" i="13"/>
  <c r="K31" i="13"/>
  <c r="I31" i="13"/>
  <c r="M30" i="13"/>
  <c r="G2" i="15" l="1"/>
  <c r="L26" i="13"/>
  <c r="I26" i="13"/>
  <c r="P26" i="13"/>
  <c r="L189" i="15"/>
  <c r="L228" i="15"/>
  <c r="I164" i="15"/>
  <c r="F2" i="15"/>
  <c r="F585" i="15"/>
  <c r="I585" i="15" s="1"/>
  <c r="J2" i="15"/>
  <c r="E2" i="15"/>
  <c r="H2" i="15"/>
  <c r="K128" i="15"/>
  <c r="I109" i="15"/>
  <c r="K109" i="15" s="1"/>
  <c r="K110" i="15"/>
  <c r="K3" i="15" s="1"/>
  <c r="I3" i="15"/>
  <c r="M27" i="13"/>
  <c r="I27" i="13"/>
  <c r="S26" i="13"/>
  <c r="O26" i="13"/>
  <c r="H27" i="13"/>
  <c r="P27" i="13"/>
  <c r="L27" i="13"/>
  <c r="H26" i="13"/>
  <c r="Q27" i="13"/>
  <c r="R26" i="13"/>
  <c r="N26" i="13"/>
  <c r="S27" i="13"/>
  <c r="O27" i="13"/>
  <c r="K27" i="13"/>
  <c r="K26" i="13"/>
  <c r="Q26" i="13"/>
  <c r="M26" i="13"/>
  <c r="R27" i="13"/>
  <c r="N27" i="13"/>
  <c r="K164" i="15" l="1"/>
  <c r="I127" i="15"/>
  <c r="K585" i="15"/>
  <c r="K127" i="15" l="1"/>
  <c r="I2" i="15"/>
  <c r="K2" i="15" s="1"/>
  <c r="C24" i="13" l="1"/>
  <c r="G66" i="13"/>
  <c r="G67" i="13"/>
  <c r="I67" i="13" s="1"/>
  <c r="G68" i="13"/>
  <c r="I68" i="13" s="1"/>
  <c r="G69" i="13"/>
  <c r="K69" i="13" s="1"/>
  <c r="G70" i="13"/>
  <c r="I70" i="13" s="1"/>
  <c r="G71" i="13"/>
  <c r="K71" i="13" s="1"/>
  <c r="G72" i="13"/>
  <c r="I72" i="13" s="1"/>
  <c r="G73" i="13"/>
  <c r="K73" i="13" s="1"/>
  <c r="G74" i="13"/>
  <c r="G65" i="13"/>
  <c r="T66" i="13"/>
  <c r="T65" i="13"/>
  <c r="J69" i="13"/>
  <c r="J70" i="13"/>
  <c r="K70" i="13"/>
  <c r="L70" i="13"/>
  <c r="N70" i="13"/>
  <c r="O70" i="13"/>
  <c r="P70" i="13"/>
  <c r="R70" i="13"/>
  <c r="S70" i="13"/>
  <c r="J73" i="13"/>
  <c r="T63" i="13"/>
  <c r="T60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I40" i="13"/>
  <c r="T40" i="13" s="1"/>
  <c r="T25" i="13"/>
  <c r="G76" i="13"/>
  <c r="G61" i="13"/>
  <c r="J61" i="13" s="1"/>
  <c r="G62" i="13"/>
  <c r="I62" i="13" s="1"/>
  <c r="G63" i="13"/>
  <c r="G60" i="13"/>
  <c r="G58" i="13"/>
  <c r="G50" i="13"/>
  <c r="G51" i="13"/>
  <c r="H51" i="13" s="1"/>
  <c r="I51" i="13" s="1"/>
  <c r="G52" i="13"/>
  <c r="G53" i="13"/>
  <c r="G54" i="13"/>
  <c r="G55" i="13"/>
  <c r="G56" i="13"/>
  <c r="G57" i="13"/>
  <c r="G45" i="13"/>
  <c r="G46" i="13"/>
  <c r="G44" i="13"/>
  <c r="G40" i="13"/>
  <c r="G41" i="13"/>
  <c r="G42" i="13"/>
  <c r="G39" i="13"/>
  <c r="J39" i="13" s="1"/>
  <c r="G35" i="13"/>
  <c r="G36" i="13"/>
  <c r="T28" i="13"/>
  <c r="M29" i="13"/>
  <c r="T29" i="13" s="1"/>
  <c r="T30" i="13"/>
  <c r="T31" i="13"/>
  <c r="S32" i="13"/>
  <c r="T32" i="13" s="1"/>
  <c r="J71" i="13" l="1"/>
  <c r="P67" i="13"/>
  <c r="L72" i="13"/>
  <c r="R71" i="13"/>
  <c r="K67" i="13"/>
  <c r="H70" i="13"/>
  <c r="N71" i="13"/>
  <c r="Q70" i="13"/>
  <c r="M70" i="13"/>
  <c r="S72" i="13"/>
  <c r="K72" i="13"/>
  <c r="P72" i="13"/>
  <c r="H72" i="13"/>
  <c r="O72" i="13"/>
  <c r="L68" i="13"/>
  <c r="H35" i="13"/>
  <c r="M61" i="13"/>
  <c r="H67" i="13"/>
  <c r="Q71" i="13"/>
  <c r="M71" i="13"/>
  <c r="I71" i="13"/>
  <c r="O67" i="13"/>
  <c r="J67" i="13"/>
  <c r="G24" i="13"/>
  <c r="H24" i="13" s="1"/>
  <c r="Q61" i="13"/>
  <c r="I61" i="13"/>
  <c r="I59" i="13" s="1"/>
  <c r="P71" i="13"/>
  <c r="L71" i="13"/>
  <c r="S67" i="13"/>
  <c r="N67" i="13"/>
  <c r="H68" i="13"/>
  <c r="H36" i="13"/>
  <c r="J45" i="13"/>
  <c r="N45" i="13"/>
  <c r="R45" i="13"/>
  <c r="Q45" i="13"/>
  <c r="K45" i="13"/>
  <c r="O45" i="13"/>
  <c r="S45" i="13"/>
  <c r="M45" i="13"/>
  <c r="L45" i="13"/>
  <c r="P45" i="13"/>
  <c r="H45" i="13"/>
  <c r="I45" i="13"/>
  <c r="H71" i="13"/>
  <c r="S71" i="13"/>
  <c r="O71" i="13"/>
  <c r="R67" i="13"/>
  <c r="L67" i="13"/>
  <c r="P68" i="13"/>
  <c r="J38" i="13"/>
  <c r="T39" i="13"/>
  <c r="L62" i="13"/>
  <c r="H61" i="13"/>
  <c r="L61" i="13"/>
  <c r="S62" i="13"/>
  <c r="K62" i="13"/>
  <c r="O68" i="13"/>
  <c r="K68" i="13"/>
  <c r="H62" i="13"/>
  <c r="O61" i="13"/>
  <c r="K61" i="13"/>
  <c r="R62" i="13"/>
  <c r="N62" i="13"/>
  <c r="J62" i="13"/>
  <c r="J59" i="13" s="1"/>
  <c r="R73" i="13"/>
  <c r="R72" i="13"/>
  <c r="N72" i="13"/>
  <c r="J72" i="13"/>
  <c r="R69" i="13"/>
  <c r="R68" i="13"/>
  <c r="N68" i="13"/>
  <c r="J68" i="13"/>
  <c r="P62" i="13"/>
  <c r="G59" i="13"/>
  <c r="P61" i="13"/>
  <c r="S61" i="13"/>
  <c r="O62" i="13"/>
  <c r="S68" i="13"/>
  <c r="R61" i="13"/>
  <c r="N61" i="13"/>
  <c r="Q62" i="13"/>
  <c r="M62" i="13"/>
  <c r="M59" i="13" s="1"/>
  <c r="T70" i="13"/>
  <c r="N73" i="13"/>
  <c r="Q72" i="13"/>
  <c r="M72" i="13"/>
  <c r="N69" i="13"/>
  <c r="Q67" i="13"/>
  <c r="M67" i="13"/>
  <c r="Q68" i="13"/>
  <c r="M68" i="13"/>
  <c r="Q73" i="13"/>
  <c r="M73" i="13"/>
  <c r="I73" i="13"/>
  <c r="Q69" i="13"/>
  <c r="M69" i="13"/>
  <c r="I69" i="13"/>
  <c r="H69" i="13"/>
  <c r="H73" i="13"/>
  <c r="P73" i="13"/>
  <c r="L73" i="13"/>
  <c r="P69" i="13"/>
  <c r="L69" i="13"/>
  <c r="S73" i="13"/>
  <c r="O73" i="13"/>
  <c r="S69" i="13"/>
  <c r="O69" i="13"/>
  <c r="J51" i="13"/>
  <c r="C38" i="13"/>
  <c r="C59" i="13"/>
  <c r="C64" i="13"/>
  <c r="C49" i="13"/>
  <c r="G49" i="13" s="1"/>
  <c r="C48" i="13"/>
  <c r="G48" i="13" s="1"/>
  <c r="C47" i="13"/>
  <c r="C34" i="13"/>
  <c r="G34" i="13" s="1"/>
  <c r="H34" i="13" s="1"/>
  <c r="T34" i="13" s="1"/>
  <c r="P24" i="13" l="1"/>
  <c r="T45" i="13"/>
  <c r="K59" i="13"/>
  <c r="Q24" i="13"/>
  <c r="N59" i="13"/>
  <c r="Q59" i="13"/>
  <c r="T72" i="13"/>
  <c r="I36" i="13"/>
  <c r="J36" i="13" s="1"/>
  <c r="K36" i="13" s="1"/>
  <c r="O24" i="13"/>
  <c r="N24" i="13"/>
  <c r="J24" i="13"/>
  <c r="T67" i="13"/>
  <c r="T71" i="13"/>
  <c r="K24" i="13"/>
  <c r="S24" i="13"/>
  <c r="I24" i="13"/>
  <c r="R24" i="13"/>
  <c r="S59" i="13"/>
  <c r="T68" i="13"/>
  <c r="J48" i="13"/>
  <c r="N48" i="13"/>
  <c r="R48" i="13"/>
  <c r="I48" i="13"/>
  <c r="Q48" i="13"/>
  <c r="K48" i="13"/>
  <c r="O48" i="13"/>
  <c r="S48" i="13"/>
  <c r="L48" i="13"/>
  <c r="P48" i="13"/>
  <c r="H48" i="13"/>
  <c r="M48" i="13"/>
  <c r="L24" i="13"/>
  <c r="M24" i="13"/>
  <c r="P59" i="13"/>
  <c r="I35" i="13"/>
  <c r="T73" i="13"/>
  <c r="T27" i="13"/>
  <c r="R59" i="13"/>
  <c r="T62" i="13"/>
  <c r="H59" i="13"/>
  <c r="T61" i="13"/>
  <c r="I49" i="13"/>
  <c r="M49" i="13"/>
  <c r="Q49" i="13"/>
  <c r="K49" i="13"/>
  <c r="O49" i="13"/>
  <c r="H49" i="13"/>
  <c r="L49" i="13"/>
  <c r="J49" i="13"/>
  <c r="N49" i="13"/>
  <c r="R49" i="13"/>
  <c r="S49" i="13"/>
  <c r="P49" i="13"/>
  <c r="O59" i="13"/>
  <c r="C43" i="13"/>
  <c r="G47" i="13"/>
  <c r="L59" i="13"/>
  <c r="T26" i="13"/>
  <c r="T69" i="13"/>
  <c r="K51" i="13"/>
  <c r="T48" i="13" l="1"/>
  <c r="T24" i="13"/>
  <c r="J35" i="13"/>
  <c r="K35" i="13" s="1"/>
  <c r="J47" i="13"/>
  <c r="J43" i="13" s="1"/>
  <c r="N47" i="13"/>
  <c r="R47" i="13"/>
  <c r="M47" i="13"/>
  <c r="K47" i="13"/>
  <c r="K43" i="13" s="1"/>
  <c r="O47" i="13"/>
  <c r="S47" i="13"/>
  <c r="L47" i="13"/>
  <c r="P47" i="13"/>
  <c r="H47" i="13"/>
  <c r="H43" i="13" s="1"/>
  <c r="I47" i="13"/>
  <c r="I43" i="13" s="1"/>
  <c r="Q47" i="13"/>
  <c r="L36" i="13"/>
  <c r="M36" i="13" s="1"/>
  <c r="T49" i="13"/>
  <c r="G43" i="13"/>
  <c r="T59" i="13"/>
  <c r="L51" i="13"/>
  <c r="N36" i="13" l="1"/>
  <c r="L35" i="13"/>
  <c r="T47" i="13"/>
  <c r="L43" i="13"/>
  <c r="M51" i="13"/>
  <c r="M43" i="13" s="1"/>
  <c r="O36" i="13" l="1"/>
  <c r="M35" i="13"/>
  <c r="N51" i="13"/>
  <c r="N43" i="13" s="1"/>
  <c r="P36" i="13" l="1"/>
  <c r="N35" i="13"/>
  <c r="O51" i="13"/>
  <c r="O43" i="13" s="1"/>
  <c r="P51" i="13" l="1"/>
  <c r="Q51" i="13" s="1"/>
  <c r="Q43" i="13" s="1"/>
  <c r="Q36" i="13"/>
  <c r="O35" i="13"/>
  <c r="P35" i="13" s="1"/>
  <c r="P43" i="13"/>
  <c r="R51" i="13" l="1"/>
  <c r="R43" i="13" s="1"/>
  <c r="R36" i="13"/>
  <c r="S36" i="13" s="1"/>
  <c r="Q35" i="13"/>
  <c r="R35" i="13" s="1"/>
  <c r="S35" i="13" s="1"/>
  <c r="T35" i="13" s="1"/>
  <c r="N75" i="13"/>
  <c r="O75" i="13"/>
  <c r="P75" i="13"/>
  <c r="Q75" i="13"/>
  <c r="R75" i="13"/>
  <c r="S75" i="13"/>
  <c r="T75" i="13"/>
  <c r="M75" i="13"/>
  <c r="G75" i="13"/>
  <c r="H75" i="13"/>
  <c r="I75" i="13"/>
  <c r="J75" i="13"/>
  <c r="K75" i="13"/>
  <c r="L75" i="13"/>
  <c r="E75" i="13"/>
  <c r="F75" i="13"/>
  <c r="D75" i="13"/>
  <c r="F64" i="13"/>
  <c r="E64" i="13"/>
  <c r="D64" i="13"/>
  <c r="F59" i="13"/>
  <c r="E59" i="13"/>
  <c r="D59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E16" i="13"/>
  <c r="C13" i="13"/>
  <c r="C16" i="13" s="1"/>
  <c r="G12" i="13"/>
  <c r="G11" i="13"/>
  <c r="G10" i="13"/>
  <c r="G9" i="13"/>
  <c r="G8" i="13"/>
  <c r="S51" i="13" l="1"/>
  <c r="T51" i="13" s="1"/>
  <c r="H11" i="13"/>
  <c r="I11" i="13" s="1"/>
  <c r="L8" i="13"/>
  <c r="P8" i="13"/>
  <c r="H8" i="13"/>
  <c r="I8" i="13"/>
  <c r="M8" i="13"/>
  <c r="Q8" i="13"/>
  <c r="J8" i="13"/>
  <c r="N8" i="13"/>
  <c r="R8" i="13"/>
  <c r="K8" i="13"/>
  <c r="O8" i="13"/>
  <c r="S8" i="13"/>
  <c r="H9" i="13"/>
  <c r="I9" i="13" s="1"/>
  <c r="H10" i="13"/>
  <c r="I10" i="13" s="1"/>
  <c r="H12" i="13"/>
  <c r="I12" i="13" s="1"/>
  <c r="T36" i="13"/>
  <c r="C77" i="13"/>
  <c r="C37" i="13"/>
  <c r="D77" i="13"/>
  <c r="E43" i="13"/>
  <c r="E77" i="13" s="1"/>
  <c r="F23" i="13"/>
  <c r="G13" i="13"/>
  <c r="G16" i="13" s="1"/>
  <c r="F43" i="13"/>
  <c r="F37" i="13" s="1"/>
  <c r="G64" i="13"/>
  <c r="P33" i="13"/>
  <c r="G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Q33" i="13"/>
  <c r="G38" i="13"/>
  <c r="H42" i="13"/>
  <c r="P42" i="13"/>
  <c r="P38" i="13" s="1"/>
  <c r="O42" i="13"/>
  <c r="O38" i="13" s="1"/>
  <c r="G23" i="13"/>
  <c r="Q23" i="13"/>
  <c r="L37" i="13"/>
  <c r="Q74" i="13"/>
  <c r="R74" i="13"/>
  <c r="S43" i="13" l="1"/>
  <c r="J12" i="13"/>
  <c r="J9" i="13"/>
  <c r="I13" i="13"/>
  <c r="I16" i="13"/>
  <c r="J10" i="13"/>
  <c r="H16" i="13"/>
  <c r="H13" i="13"/>
  <c r="T8" i="13"/>
  <c r="J11" i="13"/>
  <c r="E37" i="13"/>
  <c r="H33" i="13"/>
  <c r="G77" i="13"/>
  <c r="T43" i="13"/>
  <c r="H38" i="13"/>
  <c r="R33" i="13"/>
  <c r="F77" i="13"/>
  <c r="O33" i="13"/>
  <c r="R23" i="13"/>
  <c r="J64" i="13"/>
  <c r="M64" i="13"/>
  <c r="Q64" i="13"/>
  <c r="R64" i="13"/>
  <c r="S74" i="13"/>
  <c r="T74" i="13" s="1"/>
  <c r="T64" i="13" s="1"/>
  <c r="I64" i="13"/>
  <c r="N64" i="13"/>
  <c r="Q37" i="13"/>
  <c r="L33" i="13"/>
  <c r="I37" i="13"/>
  <c r="R37" i="13"/>
  <c r="N23" i="13"/>
  <c r="H23" i="13"/>
  <c r="K33" i="13"/>
  <c r="M37" i="13"/>
  <c r="M23" i="13"/>
  <c r="G37" i="13"/>
  <c r="O23" i="13"/>
  <c r="H64" i="13"/>
  <c r="O37" i="13"/>
  <c r="I23" i="13"/>
  <c r="J37" i="13"/>
  <c r="M33" i="13"/>
  <c r="K23" i="13"/>
  <c r="O64" i="13"/>
  <c r="K37" i="13"/>
  <c r="S42" i="13"/>
  <c r="S38" i="13" s="1"/>
  <c r="P37" i="13"/>
  <c r="I33" i="13"/>
  <c r="P23" i="13"/>
  <c r="L64" i="13"/>
  <c r="P64" i="13"/>
  <c r="K64" i="13"/>
  <c r="N37" i="13"/>
  <c r="J23" i="13"/>
  <c r="S23" i="13"/>
  <c r="L23" i="13"/>
  <c r="J13" i="13" l="1"/>
  <c r="J16" i="13" s="1"/>
  <c r="K11" i="13"/>
  <c r="L12" i="13"/>
  <c r="K9" i="13"/>
  <c r="L9" i="13" s="1"/>
  <c r="K10" i="13"/>
  <c r="L10" i="13" s="1"/>
  <c r="K12" i="13"/>
  <c r="T42" i="13"/>
  <c r="T38" i="13" s="1"/>
  <c r="T37" i="13" s="1"/>
  <c r="H37" i="13"/>
  <c r="P77" i="13"/>
  <c r="S33" i="13"/>
  <c r="K77" i="13"/>
  <c r="Q77" i="13"/>
  <c r="I77" i="13"/>
  <c r="H77" i="13"/>
  <c r="R77" i="13"/>
  <c r="M77" i="13"/>
  <c r="S37" i="13"/>
  <c r="T23" i="13"/>
  <c r="O77" i="13"/>
  <c r="J77" i="13"/>
  <c r="L77" i="13"/>
  <c r="N77" i="13"/>
  <c r="T33" i="13"/>
  <c r="S64" i="13"/>
  <c r="M10" i="13" l="1"/>
  <c r="K13" i="13"/>
  <c r="K16" i="13" s="1"/>
  <c r="M12" i="13"/>
  <c r="N12" i="13" s="1"/>
  <c r="M9" i="13"/>
  <c r="N9" i="13" s="1"/>
  <c r="L11" i="13"/>
  <c r="T77" i="13"/>
  <c r="S77" i="13"/>
  <c r="L13" i="13" l="1"/>
  <c r="L16" i="13" s="1"/>
  <c r="O9" i="13"/>
  <c r="O12" i="13"/>
  <c r="M11" i="13"/>
  <c r="N11" i="13" s="1"/>
  <c r="N10" i="13"/>
  <c r="J8" i="9"/>
  <c r="M13" i="13" l="1"/>
  <c r="M16" i="13" s="1"/>
  <c r="O11" i="13"/>
  <c r="N13" i="13"/>
  <c r="N16" i="13" s="1"/>
  <c r="P12" i="13"/>
  <c r="O10" i="13"/>
  <c r="P9" i="13"/>
  <c r="Q9" i="13" s="1"/>
  <c r="M63" i="9"/>
  <c r="H63" i="9"/>
  <c r="M62" i="9"/>
  <c r="H62" i="9"/>
  <c r="N62" i="9" s="1"/>
  <c r="L61" i="9"/>
  <c r="K61" i="9"/>
  <c r="J61" i="9"/>
  <c r="I61" i="9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F8" i="9"/>
  <c r="E8" i="9"/>
  <c r="D8" i="9"/>
  <c r="C8" i="9"/>
  <c r="F64" i="9" l="1"/>
  <c r="P10" i="13"/>
  <c r="C64" i="9"/>
  <c r="Q12" i="13"/>
  <c r="R12" i="13" s="1"/>
  <c r="M61" i="9"/>
  <c r="R9" i="13"/>
  <c r="O13" i="13"/>
  <c r="O16" i="13" s="1"/>
  <c r="P11" i="13"/>
  <c r="E64" i="9"/>
  <c r="H50" i="9"/>
  <c r="H61" i="9"/>
  <c r="H18" i="9"/>
  <c r="H8" i="9"/>
  <c r="N42" i="9"/>
  <c r="O42" i="9" s="1"/>
  <c r="G22" i="9"/>
  <c r="G64" i="9" s="1"/>
  <c r="H27" i="9"/>
  <c r="J27" i="9"/>
  <c r="J64" i="9" s="1"/>
  <c r="N63" i="9"/>
  <c r="H45" i="9"/>
  <c r="S12" i="13" l="1"/>
  <c r="T12" i="13"/>
  <c r="Q10" i="13"/>
  <c r="Q13" i="13" s="1"/>
  <c r="Q16" i="13" s="1"/>
  <c r="P13" i="13"/>
  <c r="P16" i="13" s="1"/>
  <c r="Q11" i="13"/>
  <c r="R11" i="13" s="1"/>
  <c r="S11" i="13" s="1"/>
  <c r="S9" i="13"/>
  <c r="N61" i="9"/>
  <c r="H22" i="9"/>
  <c r="H64" i="9" s="1"/>
  <c r="T11" i="13" l="1"/>
  <c r="R10" i="13"/>
  <c r="T9" i="13"/>
  <c r="K49" i="9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S10" i="13" l="1"/>
  <c r="S13" i="13" s="1"/>
  <c r="S16" i="13" s="1"/>
  <c r="R13" i="13"/>
  <c r="R16" i="13" s="1"/>
  <c r="T16" i="13" s="1"/>
  <c r="T10" i="13"/>
  <c r="T13" i="13" s="1"/>
  <c r="N19" i="9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<sst xmlns="http://schemas.openxmlformats.org/spreadsheetml/2006/main" count="1149" uniqueCount="245">
  <si>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</si>
  <si>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</si>
  <si>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</si>
  <si>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</si>
  <si>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</si>
  <si>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</si>
  <si>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</si>
  <si>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</si>
  <si>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</si>
  <si>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</si>
  <si>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</si>
  <si>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</si>
  <si>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</si>
  <si>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</si>
  <si>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</si>
  <si>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</si>
  <si>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</si>
  <si>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</si>
  <si>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</si>
  <si>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</si>
  <si>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</si>
  <si>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</si>
  <si>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</si>
  <si>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</si>
  <si>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</si>
  <si>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</si>
  <si>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</si>
  <si>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</si>
  <si>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</si>
  <si>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</si>
  <si>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</si>
  <si>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</si>
  <si>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</si>
  <si>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</si>
  <si>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</si>
  <si>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</si>
  <si>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</si>
  <si>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</si>
  <si>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</si>
  <si>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</si>
  <si>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</si>
  <si>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</si>
  <si>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</si>
  <si>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</si>
  <si>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</si>
  <si>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</si>
  <si>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</si>
  <si>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</si>
  <si>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</si>
  <si>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</si>
  <si>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</si>
  <si>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</si>
  <si>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</si>
  <si>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</si>
  <si>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</si>
  <si>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</si>
  <si>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</si>
  <si>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</si>
  <si>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</si>
  <si>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</si>
  <si>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</si>
  <si>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</si>
  <si>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</si>
  <si>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</si>
  <si>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</si>
  <si>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</si>
  <si>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</si>
  <si>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</si>
  <si>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</si>
  <si>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</si>
  <si>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</si>
  <si>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</si>
  <si>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</si>
  <si>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</si>
  <si>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</si>
  <si>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</si>
  <si>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</si>
  <si>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</si>
  <si>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</si>
  <si>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</si>
  <si>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</si>
  <si>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</si>
  <si>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</si>
  <si>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</si>
  <si>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</si>
  <si>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</si>
  <si>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</si>
  <si>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</si>
  <si>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</si>
  <si>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</si>
  <si>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</si>
  <si>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</si>
  <si>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</si>
  <si>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</si>
  <si>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</si>
  <si>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</si>
  <si>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</si>
  <si>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</si>
  <si>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</si>
  <si>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</si>
  <si>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</si>
  <si>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</si>
  <si>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</si>
  <si>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</si>
  <si>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</si>
  <si>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</si>
  <si>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</si>
  <si>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</si>
  <si>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</si>
  <si>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</si>
  <si>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</si>
  <si>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</si>
  <si>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</si>
  <si>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</si>
  <si>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</si>
  <si>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</si>
  <si>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</si>
  <si>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</si>
  <si>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</si>
  <si>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</si>
  <si>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</si>
  <si>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</si>
  <si>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</si>
  <si>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</si>
  <si>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</si>
  <si>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</si>
  <si>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</si>
  <si>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</si>
  <si>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</si>
  <si>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</si>
  <si>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</si>
  <si>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</si>
  <si>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</si>
  <si>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</si>
  <si>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</si>
  <si>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</si>
  <si>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</si>
  <si>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</si>
  <si>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</si>
  <si>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</si>
  <si>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</si>
  <si>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</si>
  <si>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</si>
  <si>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</si>
  <si>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</si>
  <si>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</si>
  <si>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</si>
  <si>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</si>
  <si>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</si>
  <si>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</si>
  <si>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</si>
  <si>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</si>
  <si>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</si>
  <si>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</si>
  <si>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</si>
  <si>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</si>
  <si>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</si>
  <si>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</si>
  <si>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</si>
  <si>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</si>
  <si>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</si>
  <si>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</si>
  <si>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</si>
  <si>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</si>
  <si>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</si>
  <si>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</si>
  <si>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</si>
  <si>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</si>
  <si>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</si>
  <si>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</si>
  <si>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</si>
  <si>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</si>
  <si>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</si>
  <si>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</si>
  <si>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</si>
  <si>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</si>
  <si>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</si>
  <si>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</si>
  <si>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</si>
  <si>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</si>
  <si>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</si>
  <si>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</si>
  <si>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</si>
  <si>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</si>
  <si>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</si>
  <si>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</si>
  <si>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</si>
  <si>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</si>
  <si>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</si>
  <si>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</si>
  <si>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</si>
  <si>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</si>
  <si>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</si>
  <si>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</si>
  <si>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</si>
  <si>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</si>
  <si>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</si>
  <si>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</si>
  <si>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</si>
  <si>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</si>
  <si>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</si>
  <si>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</si>
  <si>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</si>
  <si>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</si>
  <si>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</si>
  <si>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</si>
  <si>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</si>
  <si>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</si>
  <si>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</si>
  <si>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</si>
  <si>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</si>
  <si>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</si>
  <si>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</si>
  <si>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</si>
  <si>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</si>
  <si>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</si>
  <si>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</si>
  <si>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</si>
  <si>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</si>
  <si>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</si>
  <si>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</si>
  <si>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</si>
  <si>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</si>
  <si>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</si>
  <si>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</si>
  <si>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</si>
  <si>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</si>
  <si>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</si>
  <si>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</si>
  <si>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</si>
  <si>
    <t>ABRIL DE 2018</t>
  </si>
  <si>
    <t>ADICION RES 30-2018</t>
  </si>
  <si>
    <t>ADICION RES 30+-2018</t>
  </si>
  <si>
    <t>ADICION RES 30 - 2018</t>
  </si>
  <si>
    <t>COSTOS ENERO A ABRIL</t>
  </si>
  <si>
    <t>MYRTHIAN ADRIANA CUESTA HERNANDEZ</t>
  </si>
  <si>
    <t>MAYO PORVENIR</t>
  </si>
  <si>
    <t>MAYO APORTES COLPENSIONES</t>
  </si>
  <si>
    <t>SATENA</t>
  </si>
  <si>
    <t>14/06/2018</t>
  </si>
  <si>
    <t>MAYO DE 2018</t>
  </si>
  <si>
    <t>SANDRA MILENA VASQUEZ MONTES</t>
  </si>
  <si>
    <t>SERVIDORES</t>
  </si>
  <si>
    <t>EDGAR PINZON CORZO</t>
  </si>
  <si>
    <t>REVERSO PAGO AVIANCA JUAN PABLO RAMIREZ PALACIO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</si>
</sst>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[$-409]d\-mmm\-yy;@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76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6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6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6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6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6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6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6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6" fontId="10" fillId="5" borderId="1" xfId="4" applyNumberFormat="1" applyFont="1" applyFill="1" applyBorder="1"/>
    <xf numFmtId="3" fontId="2" fillId="0" borderId="0" xfId="1" applyNumberFormat="1"/>
    <xf numFmtId="166" fontId="0" fillId="0" borderId="0" xfId="4" applyNumberFormat="1" applyFont="1"/>
    <xf numFmtId="3" fontId="11" fillId="0" borderId="0" xfId="1" applyNumberFormat="1" applyFont="1"/>
    <xf numFmtId="166" fontId="10" fillId="2" borderId="1" xfId="2" applyNumberFormat="1" applyFont="1" applyFill="1" applyBorder="1"/>
    <xf numFmtId="166" fontId="12" fillId="2" borderId="1" xfId="2" applyNumberFormat="1" applyFont="1" applyFill="1" applyBorder="1"/>
    <xf numFmtId="166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6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6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6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6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6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6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6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41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41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41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10" fillId="2" borderId="1" xfId="11" applyFont="1" applyFill="1" applyBorder="1" applyAlignment="1">
      <alignment horizontal="right" vertical="center"/>
    </xf>
    <xf numFmtId="41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41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41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41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2" fillId="0" borderId="18" xfId="5" applyFont="1" applyBorder="1"/>
    <xf numFmtId="0" fontId="4" fillId="14" borderId="18" xfId="5" applyFont="1" applyFill="1" applyBorder="1"/>
    <xf numFmtId="0" fontId="2" fillId="0" borderId="18" xfId="5" applyFont="1" applyFill="1" applyBorder="1"/>
    <xf numFmtId="0" fontId="2" fillId="14" borderId="18" xfId="5" applyFont="1" applyFill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41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3" fontId="7" fillId="14" borderId="18" xfId="5" applyNumberFormat="1" applyFont="1" applyFill="1" applyBorder="1"/>
    <xf numFmtId="0" fontId="13" fillId="0" borderId="0" xfId="5" applyFont="1"/>
    <xf numFmtId="0" fontId="7" fillId="14" borderId="18" xfId="5" applyFont="1" applyFill="1" applyBorder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41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3" fontId="18" fillId="13" borderId="18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3" fontId="17" fillId="10" borderId="30" xfId="5" applyNumberFormat="1" applyFont="1" applyFill="1" applyBorder="1" applyAlignment="1">
      <alignment wrapText="1"/>
    </xf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2" xfId="1" applyFont="1" applyFill="1" applyBorder="1" applyAlignment="1">
      <alignment vertical="center"/>
    </xf>
    <xf numFmtId="0" fontId="7" fillId="13" borderId="18" xfId="5" applyFont="1" applyFill="1" applyBorder="1"/>
    <xf numFmtId="3" fontId="25" fillId="14" borderId="1" xfId="1" applyNumberFormat="1" applyFont="1" applyFill="1" applyBorder="1" applyAlignment="1">
      <alignment horizontal="right"/>
    </xf>
    <xf numFmtId="0" fontId="8" fillId="14" borderId="1" xfId="1" applyFont="1" applyFill="1" applyBorder="1" applyAlignment="1">
      <alignment horizontal="left"/>
    </xf>
    <xf numFmtId="41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41" fontId="18" fillId="13" borderId="1" xfId="5" applyNumberFormat="1" applyFont="1" applyFill="1" applyBorder="1"/>
    <xf numFmtId="3" fontId="18" fillId="15" borderId="18" xfId="5" applyNumberFormat="1" applyFont="1" applyFill="1" applyBorder="1"/>
    <xf numFmtId="3" fontId="3" fillId="13" borderId="18" xfId="5" applyNumberFormat="1" applyFont="1" applyFill="1" applyBorder="1"/>
    <xf numFmtId="3" fontId="8" fillId="14" borderId="18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3" fontId="8" fillId="14" borderId="1" xfId="5" applyNumberFormat="1" applyFont="1" applyFill="1" applyBorder="1"/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41" fontId="18" fillId="13" borderId="1" xfId="1" applyNumberFormat="1" applyFont="1" applyFill="1" applyBorder="1" applyAlignment="1">
      <alignment vertical="center" wrapText="1"/>
    </xf>
    <xf numFmtId="41" fontId="18" fillId="13" borderId="18" xfId="5" applyNumberFormat="1" applyFont="1" applyFill="1" applyBorder="1" applyAlignment="1">
      <alignment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41" fontId="7" fillId="14" borderId="1" xfId="5" applyNumberFormat="1" applyFont="1" applyFill="1" applyBorder="1"/>
    <xf numFmtId="41" fontId="7" fillId="14" borderId="18" xfId="5" applyNumberFormat="1" applyFont="1" applyFill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41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0" fontId="2" fillId="0" borderId="37" xfId="5" applyFont="1" applyBorder="1"/>
    <xf numFmtId="41" fontId="7" fillId="14" borderId="1" xfId="11" applyFont="1" applyFill="1" applyBorder="1" applyAlignment="1">
      <alignment horizontal="right" vertical="center"/>
    </xf>
    <xf numFmtId="41" fontId="20" fillId="0" borderId="5" xfId="11" applyFont="1" applyBorder="1"/>
    <xf numFmtId="41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41" fontId="8" fillId="6" borderId="2" xfId="11" applyFont="1" applyFill="1" applyBorder="1" applyAlignment="1">
      <alignment horizontal="left" vertical="center" wrapText="1"/>
    </xf>
    <xf numFmtId="41" fontId="8" fillId="5" borderId="2" xfId="11" applyFont="1" applyFill="1" applyBorder="1" applyAlignment="1">
      <alignment horizontal="left" vertical="center" wrapText="1"/>
    </xf>
    <xf numFmtId="41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41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0" fontId="3" fillId="0" borderId="37" xfId="5" applyFont="1" applyBorder="1"/>
    <xf numFmtId="41" fontId="14" fillId="10" borderId="32" xfId="11" applyFont="1" applyFill="1" applyBorder="1" applyAlignment="1">
      <alignment vertical="center"/>
    </xf>
    <xf numFmtId="41" fontId="14" fillId="10" borderId="34" xfId="11" applyFont="1" applyFill="1" applyBorder="1"/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41" fontId="2" fillId="0" borderId="0" xfId="11" applyFont="1"/>
    <xf numFmtId="0" fontId="18" fillId="13" borderId="1" xfId="1" applyFont="1" applyFill="1" applyBorder="1" applyAlignment="1">
      <alignment horizontal="left"/>
    </xf>
    <xf numFmtId="41" fontId="26" fillId="13" borderId="1" xfId="11" applyFont="1" applyFill="1" applyBorder="1"/>
    <xf numFmtId="3" fontId="18" fillId="13" borderId="18" xfId="5" applyNumberFormat="1" applyFont="1" applyFill="1" applyBorder="1"/>
    <xf numFmtId="3" fontId="7" fillId="14" borderId="28" xfId="5" applyNumberFormat="1" applyFont="1" applyFill="1" applyBorder="1"/>
    <xf numFmtId="0" fontId="2" fillId="0" borderId="2" xfId="5" applyFont="1" applyBorder="1"/>
    <xf numFmtId="3" fontId="18" fillId="14" borderId="18" xfId="5" applyNumberFormat="1" applyFont="1" applyFill="1" applyBorder="1"/>
    <xf numFmtId="3" fontId="20" fillId="11" borderId="0" xfId="1" applyNumberFormat="1" applyFont="1" applyFill="1" applyBorder="1" applyAlignment="1">
      <alignment horizontal="right"/>
    </xf>
    <xf numFmtId="0" fontId="2" fillId="16" borderId="1" xfId="1" applyFont="1" applyFill="1" applyBorder="1" applyAlignment="1">
      <alignment horizontal="left"/>
    </xf>
    <xf numFmtId="167" fontId="17" fillId="10" borderId="29" xfId="5" applyNumberFormat="1" applyFont="1" applyFill="1" applyBorder="1" applyAlignment="1">
      <alignment wrapText="1"/>
    </xf>
    <xf numFmtId="167" fontId="4" fillId="15" borderId="35" xfId="5" applyNumberFormat="1" applyFont="1" applyFill="1" applyBorder="1" applyAlignment="1">
      <alignment wrapText="1"/>
    </xf>
    <xf numFmtId="167" fontId="18" fillId="13" borderId="28" xfId="1" applyNumberFormat="1" applyFont="1" applyFill="1" applyBorder="1" applyAlignment="1">
      <alignment horizontal="left" vertical="center"/>
    </xf>
    <xf numFmtId="167" fontId="7" fillId="14" borderId="28" xfId="5" applyNumberFormat="1" applyFont="1" applyFill="1" applyBorder="1"/>
    <xf numFmtId="167" fontId="2" fillId="0" borderId="1" xfId="5" applyNumberFormat="1" applyFont="1" applyBorder="1"/>
    <xf numFmtId="167" fontId="2" fillId="0" borderId="28" xfId="5" applyNumberFormat="1" applyFont="1" applyBorder="1"/>
    <xf numFmtId="167" fontId="4" fillId="14" borderId="28" xfId="5" applyNumberFormat="1" applyFont="1" applyFill="1" applyBorder="1"/>
    <xf numFmtId="167" fontId="2" fillId="0" borderId="28" xfId="5" applyNumberFormat="1" applyFont="1" applyFill="1" applyBorder="1"/>
    <xf numFmtId="167" fontId="18" fillId="13" borderId="1" xfId="5" applyNumberFormat="1" applyFont="1" applyFill="1" applyBorder="1"/>
    <xf numFmtId="167" fontId="4" fillId="0" borderId="28" xfId="5" applyNumberFormat="1" applyFont="1" applyBorder="1"/>
    <xf numFmtId="167" fontId="2" fillId="14" borderId="28" xfId="5" applyNumberFormat="1" applyFont="1" applyFill="1" applyBorder="1"/>
    <xf numFmtId="167" fontId="18" fillId="15" borderId="28" xfId="5" applyNumberFormat="1" applyFont="1" applyFill="1" applyBorder="1"/>
    <xf numFmtId="167" fontId="3" fillId="13" borderId="28" xfId="5" applyNumberFormat="1" applyFont="1" applyFill="1" applyBorder="1"/>
    <xf numFmtId="167" fontId="2" fillId="0" borderId="0" xfId="5" applyNumberFormat="1" applyFont="1"/>
    <xf numFmtId="167" fontId="8" fillId="14" borderId="28" xfId="5" applyNumberFormat="1" applyFont="1" applyFill="1" applyBorder="1"/>
    <xf numFmtId="167" fontId="2" fillId="0" borderId="28" xfId="5" applyNumberFormat="1" applyFont="1" applyBorder="1" applyAlignment="1">
      <alignment horizontal="right"/>
    </xf>
    <xf numFmtId="167" fontId="18" fillId="13" borderId="28" xfId="5" applyNumberFormat="1" applyFont="1" applyFill="1" applyBorder="1"/>
    <xf numFmtId="167" fontId="2" fillId="0" borderId="2" xfId="5" applyNumberFormat="1" applyFont="1" applyBorder="1"/>
    <xf numFmtId="167" fontId="18" fillId="13" borderId="28" xfId="5" applyNumberFormat="1" applyFont="1" applyFill="1" applyBorder="1" applyAlignment="1">
      <alignment wrapText="1"/>
    </xf>
    <xf numFmtId="167" fontId="7" fillId="13" borderId="28" xfId="5" applyNumberFormat="1" applyFont="1" applyFill="1" applyBorder="1"/>
    <xf numFmtId="167" fontId="2" fillId="0" borderId="36" xfId="5" applyNumberFormat="1" applyFont="1" applyBorder="1"/>
    <xf numFmtId="167" fontId="17" fillId="10" borderId="31" xfId="5" applyNumberFormat="1" applyFont="1" applyFill="1" applyBorder="1"/>
    <xf numFmtId="3" fontId="4" fillId="17" borderId="1" xfId="5" applyNumberFormat="1" applyFont="1" applyFill="1" applyBorder="1"/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34" zoomScale="80" zoomScaleNormal="80" zoomScaleSheetLayoutView="30" workbookViewId="0">
      <selection activeCell="A33" sqref="A33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0.87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363" t="s">
        <v>0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5"/>
      <c r="U2" s="102"/>
    </row>
    <row r="3" spans="1:22" x14ac:dyDescent="0.2">
      <c r="B3" s="363" t="s">
        <v>161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5"/>
      <c r="U3" s="102"/>
    </row>
    <row r="4" spans="1:22" ht="13.5" thickBot="1" x14ac:dyDescent="0.25">
      <c r="B4" s="366" t="s">
        <v>119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8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657894826.91321981</v>
      </c>
      <c r="D23" s="153">
        <f>SUM(D24:D32)</f>
        <v>0</v>
      </c>
      <c r="E23" s="154">
        <f>SUM(E24:E32)</f>
        <v>0</v>
      </c>
      <c r="F23" s="154">
        <f>SUM(F24:F32)</f>
        <v>0</v>
      </c>
      <c r="G23" s="154">
        <f>SUM(G24:G32)</f>
        <v>657894826.89999986</v>
      </c>
      <c r="H23" s="154">
        <f t="shared" ref="H23:T23" si="7">SUM(H24:H32)</f>
        <v>42754842.600000001</v>
      </c>
      <c r="I23" s="154">
        <f t="shared" si="7"/>
        <v>56003461.550000004</v>
      </c>
      <c r="J23" s="154">
        <f t="shared" si="7"/>
        <v>42754842.550000004</v>
      </c>
      <c r="K23" s="154">
        <f t="shared" si="7"/>
        <v>47468104.550000004</v>
      </c>
      <c r="L23" s="154">
        <f t="shared" si="7"/>
        <v>50192763.350000001</v>
      </c>
      <c r="M23" s="155">
        <f t="shared" si="7"/>
        <v>92532599.349999994</v>
      </c>
      <c r="N23" s="154">
        <f t="shared" si="7"/>
        <v>56798886.350000001</v>
      </c>
      <c r="O23" s="154">
        <f t="shared" si="7"/>
        <v>50618325.350000001</v>
      </c>
      <c r="P23" s="154">
        <f t="shared" si="7"/>
        <v>42754842.350000001</v>
      </c>
      <c r="Q23" s="154">
        <f t="shared" si="7"/>
        <v>42754842.350000001</v>
      </c>
      <c r="R23" s="154">
        <f t="shared" si="7"/>
        <v>42754842.350000001</v>
      </c>
      <c r="S23" s="154">
        <f t="shared" si="7"/>
        <v>90506474.349999994</v>
      </c>
      <c r="T23" s="152">
        <f t="shared" si="7"/>
        <v>657894827.05000019</v>
      </c>
    </row>
    <row r="24" spans="1:22" x14ac:dyDescent="0.2">
      <c r="A24" s="191" t="s">
        <v>22</v>
      </c>
      <c r="B24" s="146" t="s">
        <v>23</v>
      </c>
      <c r="C24" s="190">
        <f>ROUND(510496564.207404,1)</f>
        <v>510496564.19999999</v>
      </c>
      <c r="D24" s="98"/>
      <c r="E24" s="99"/>
      <c r="F24" s="128"/>
      <c r="G24" s="129">
        <f>ROUND((C24+D24+E24-F24),1)</f>
        <v>510496564.19999999</v>
      </c>
      <c r="H24" s="130">
        <f>ROUND(($G$24/12),1)</f>
        <v>42541380.399999999</v>
      </c>
      <c r="I24" s="130">
        <f t="shared" ref="I24:R24" si="8">$G$24/12</f>
        <v>42541380.350000001</v>
      </c>
      <c r="J24" s="130">
        <f t="shared" si="8"/>
        <v>42541380.350000001</v>
      </c>
      <c r="K24" s="130">
        <f t="shared" si="8"/>
        <v>42541380.350000001</v>
      </c>
      <c r="L24" s="130">
        <f t="shared" si="8"/>
        <v>42541380.350000001</v>
      </c>
      <c r="M24" s="130">
        <f t="shared" si="8"/>
        <v>42541380.350000001</v>
      </c>
      <c r="N24" s="130">
        <f t="shared" si="8"/>
        <v>42541380.350000001</v>
      </c>
      <c r="O24" s="130">
        <f t="shared" si="8"/>
        <v>42541380.350000001</v>
      </c>
      <c r="P24" s="130">
        <f t="shared" si="8"/>
        <v>42541380.350000001</v>
      </c>
      <c r="Q24" s="130">
        <f t="shared" si="8"/>
        <v>42541380.350000001</v>
      </c>
      <c r="R24" s="130">
        <f t="shared" si="8"/>
        <v>42541380.350000001</v>
      </c>
      <c r="S24" s="130">
        <f>$G$24/12</f>
        <v>42541380.350000001</v>
      </c>
      <c r="T24" s="132">
        <f>SUM(H24:S24)</f>
        <v>510496564.25000012</v>
      </c>
      <c r="U24" s="116"/>
    </row>
    <row r="25" spans="1:22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/>
    </row>
    <row r="26" spans="1:22" x14ac:dyDescent="0.2">
      <c r="A26" s="191" t="s">
        <v>26</v>
      </c>
      <c r="B26" s="146" t="s">
        <v>27</v>
      </c>
      <c r="C26" s="190">
        <v>1077494.3999999999</v>
      </c>
      <c r="D26" s="98"/>
      <c r="E26" s="99"/>
      <c r="F26" s="100"/>
      <c r="G26" s="129">
        <f t="shared" si="9"/>
        <v>1077494.3999999999</v>
      </c>
      <c r="H26" s="130">
        <f>ROUND($G$26/12,2)</f>
        <v>89791.2</v>
      </c>
      <c r="I26" s="130">
        <f>ROUND($G$26/12,2)</f>
        <v>89791.2</v>
      </c>
      <c r="J26" s="130">
        <f>ROUND($G$26/12,2)</f>
        <v>89791.2</v>
      </c>
      <c r="K26" s="130">
        <f>ROUND($G$26/12,2)</f>
        <v>89791.2</v>
      </c>
      <c r="L26" s="130">
        <f t="shared" ref="L26:S26" si="11">ROUND($G$26/12,0)</f>
        <v>89791</v>
      </c>
      <c r="M26" s="130">
        <f t="shared" si="11"/>
        <v>89791</v>
      </c>
      <c r="N26" s="130">
        <f t="shared" si="11"/>
        <v>89791</v>
      </c>
      <c r="O26" s="130">
        <f t="shared" si="11"/>
        <v>89791</v>
      </c>
      <c r="P26" s="130">
        <f t="shared" si="11"/>
        <v>89791</v>
      </c>
      <c r="Q26" s="130">
        <f t="shared" si="11"/>
        <v>89791</v>
      </c>
      <c r="R26" s="130">
        <f t="shared" si="11"/>
        <v>89791</v>
      </c>
      <c r="S26" s="130">
        <f t="shared" si="11"/>
        <v>89791</v>
      </c>
      <c r="T26" s="132">
        <f t="shared" si="10"/>
        <v>1077492.8</v>
      </c>
      <c r="U26" s="116"/>
    </row>
    <row r="27" spans="1:22" x14ac:dyDescent="0.2">
      <c r="A27" s="191" t="s">
        <v>28</v>
      </c>
      <c r="B27" s="146" t="s">
        <v>29</v>
      </c>
      <c r="C27" s="190">
        <v>1484049.6</v>
      </c>
      <c r="D27" s="98"/>
      <c r="E27" s="99"/>
      <c r="F27" s="100"/>
      <c r="G27" s="129">
        <f t="shared" si="9"/>
        <v>1484049.6</v>
      </c>
      <c r="H27" s="130">
        <f>ROUND($G$27/12,0)</f>
        <v>123671</v>
      </c>
      <c r="I27" s="130">
        <f t="shared" ref="I27:S27" si="12">ROUND($G$27/12,0)</f>
        <v>123671</v>
      </c>
      <c r="J27" s="130">
        <f t="shared" si="12"/>
        <v>123671</v>
      </c>
      <c r="K27" s="130">
        <f t="shared" si="12"/>
        <v>123671</v>
      </c>
      <c r="L27" s="130">
        <f t="shared" si="12"/>
        <v>123671</v>
      </c>
      <c r="M27" s="130">
        <f t="shared" si="12"/>
        <v>123671</v>
      </c>
      <c r="N27" s="130">
        <f t="shared" si="12"/>
        <v>123671</v>
      </c>
      <c r="O27" s="130">
        <f t="shared" si="12"/>
        <v>123671</v>
      </c>
      <c r="P27" s="130">
        <f t="shared" si="12"/>
        <v>123671</v>
      </c>
      <c r="Q27" s="130">
        <f t="shared" si="12"/>
        <v>123671</v>
      </c>
      <c r="R27" s="130">
        <f t="shared" si="12"/>
        <v>123671</v>
      </c>
      <c r="S27" s="130">
        <f t="shared" si="12"/>
        <v>123671</v>
      </c>
      <c r="T27" s="132">
        <f t="shared" si="10"/>
        <v>1484052</v>
      </c>
      <c r="U27" s="116"/>
    </row>
    <row r="28" spans="1:22" x14ac:dyDescent="0.2">
      <c r="A28" s="191" t="s">
        <v>30</v>
      </c>
      <c r="B28" s="146" t="s">
        <v>31</v>
      </c>
      <c r="C28" s="190">
        <v>15036740.388045937</v>
      </c>
      <c r="D28" s="98"/>
      <c r="E28" s="99"/>
      <c r="F28" s="100"/>
      <c r="G28" s="129">
        <f t="shared" si="9"/>
        <v>15036740.4</v>
      </c>
      <c r="H28" s="130">
        <v>0</v>
      </c>
      <c r="I28" s="41">
        <v>2663599</v>
      </c>
      <c r="J28" s="41">
        <v>0</v>
      </c>
      <c r="K28" s="41">
        <v>851815</v>
      </c>
      <c r="L28" s="41">
        <v>1572442</v>
      </c>
      <c r="M28" s="41">
        <v>5549311</v>
      </c>
      <c r="N28" s="41">
        <v>2759301</v>
      </c>
      <c r="O28" s="41">
        <v>1640272</v>
      </c>
      <c r="P28" s="41">
        <v>0</v>
      </c>
      <c r="Q28" s="41">
        <v>0</v>
      </c>
      <c r="R28" s="41">
        <v>0</v>
      </c>
      <c r="S28" s="41">
        <v>0</v>
      </c>
      <c r="T28" s="132">
        <f t="shared" si="10"/>
        <v>15036740</v>
      </c>
      <c r="U28" s="116"/>
    </row>
    <row r="29" spans="1:22" x14ac:dyDescent="0.2">
      <c r="A29" s="191" t="s">
        <v>32</v>
      </c>
      <c r="B29" s="146" t="s">
        <v>33</v>
      </c>
      <c r="C29" s="190">
        <v>22003952.024810392</v>
      </c>
      <c r="D29" s="98"/>
      <c r="E29" s="101"/>
      <c r="F29" s="100"/>
      <c r="G29" s="129">
        <f t="shared" si="9"/>
        <v>22003952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2">
        <f>G29</f>
        <v>22003952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2">
        <f t="shared" si="10"/>
        <v>22003952</v>
      </c>
      <c r="U29" s="116"/>
    </row>
    <row r="30" spans="1:22" x14ac:dyDescent="0.2">
      <c r="A30" s="191" t="s">
        <v>34</v>
      </c>
      <c r="B30" s="146" t="s">
        <v>35</v>
      </c>
      <c r="C30" s="190">
        <v>22920783.359177493</v>
      </c>
      <c r="D30" s="98"/>
      <c r="E30" s="99"/>
      <c r="F30" s="133"/>
      <c r="G30" s="129">
        <f t="shared" si="9"/>
        <v>22920783.399999999</v>
      </c>
      <c r="H30" s="130">
        <v>0</v>
      </c>
      <c r="I30" s="25">
        <v>4111502</v>
      </c>
      <c r="J30" s="41"/>
      <c r="K30" s="41">
        <v>1499776</v>
      </c>
      <c r="L30" s="41">
        <v>2268032</v>
      </c>
      <c r="M30" s="41">
        <f>8498759-195224</f>
        <v>8303535</v>
      </c>
      <c r="N30" s="41">
        <v>4225865</v>
      </c>
      <c r="O30" s="41">
        <v>2512073</v>
      </c>
      <c r="P30" s="134">
        <v>0</v>
      </c>
      <c r="Q30" s="134">
        <v>0</v>
      </c>
      <c r="R30" s="134">
        <v>0</v>
      </c>
      <c r="S30" s="134">
        <v>0</v>
      </c>
      <c r="T30" s="132">
        <f t="shared" si="10"/>
        <v>22920783</v>
      </c>
      <c r="U30" s="116"/>
    </row>
    <row r="31" spans="1:22" x14ac:dyDescent="0.2">
      <c r="A31" s="191">
        <v>2020110109</v>
      </c>
      <c r="B31" s="146" t="s">
        <v>36</v>
      </c>
      <c r="C31" s="190">
        <v>37123610.942899451</v>
      </c>
      <c r="D31" s="98"/>
      <c r="E31" s="99"/>
      <c r="F31" s="133"/>
      <c r="G31" s="129">
        <f t="shared" si="9"/>
        <v>37123610.899999999</v>
      </c>
      <c r="H31" s="130">
        <v>0</v>
      </c>
      <c r="I31" s="25">
        <f>5966518+507000</f>
        <v>6473518</v>
      </c>
      <c r="J31" s="41"/>
      <c r="K31" s="41">
        <f>2199671+162000</f>
        <v>2361671</v>
      </c>
      <c r="L31" s="41">
        <f>3326447+271000</f>
        <v>3597447</v>
      </c>
      <c r="M31" s="41">
        <f>12863959+1057000</f>
        <v>13920959</v>
      </c>
      <c r="N31" s="41">
        <f>6532878+526000</f>
        <v>7058878</v>
      </c>
      <c r="O31" s="41">
        <f>3684373+26765</f>
        <v>3711138</v>
      </c>
      <c r="P31" s="134">
        <v>0</v>
      </c>
      <c r="Q31" s="134">
        <v>0</v>
      </c>
      <c r="R31" s="134">
        <v>0</v>
      </c>
      <c r="S31" s="134">
        <v>0</v>
      </c>
      <c r="T31" s="132">
        <f t="shared" si="10"/>
        <v>37123611</v>
      </c>
      <c r="U31" s="116"/>
    </row>
    <row r="32" spans="1:22" ht="13.5" thickBot="1" x14ac:dyDescent="0.25">
      <c r="A32" s="191">
        <v>2020110108</v>
      </c>
      <c r="B32" s="146" t="s">
        <v>37</v>
      </c>
      <c r="C32" s="190">
        <v>47751631.998286448</v>
      </c>
      <c r="D32" s="98"/>
      <c r="E32" s="99"/>
      <c r="F32" s="100"/>
      <c r="G32" s="129">
        <f t="shared" si="9"/>
        <v>47751632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G32</f>
        <v>47751632</v>
      </c>
      <c r="T32" s="132">
        <f t="shared" si="10"/>
        <v>47751632</v>
      </c>
      <c r="U32" s="116"/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0</v>
      </c>
      <c r="E33" s="151">
        <f>SUM(E34:E36)</f>
        <v>0</v>
      </c>
      <c r="F33" s="151">
        <f>SUM(F34:F36)</f>
        <v>0</v>
      </c>
      <c r="G33" s="200">
        <f>SUM(G34:G36)</f>
        <v>12849993</v>
      </c>
      <c r="H33" s="200">
        <f t="shared" ref="H33:T33" si="13">SUM(H34:H36)</f>
        <v>12849993</v>
      </c>
      <c r="I33" s="200">
        <f t="shared" si="13"/>
        <v>0</v>
      </c>
      <c r="J33" s="200">
        <f t="shared" si="13"/>
        <v>0</v>
      </c>
      <c r="K33" s="200">
        <f t="shared" si="13"/>
        <v>0</v>
      </c>
      <c r="L33" s="200">
        <f t="shared" si="13"/>
        <v>0</v>
      </c>
      <c r="M33" s="200">
        <f t="shared" si="13"/>
        <v>0</v>
      </c>
      <c r="N33" s="200">
        <f t="shared" si="13"/>
        <v>0</v>
      </c>
      <c r="O33" s="200">
        <f t="shared" si="13"/>
        <v>0</v>
      </c>
      <c r="P33" s="200">
        <f t="shared" si="13"/>
        <v>0</v>
      </c>
      <c r="Q33" s="200">
        <f t="shared" si="13"/>
        <v>0</v>
      </c>
      <c r="R33" s="200">
        <f t="shared" si="13"/>
        <v>0</v>
      </c>
      <c r="S33" s="200">
        <f t="shared" si="13"/>
        <v>0</v>
      </c>
      <c r="T33" s="200">
        <f t="shared" si="13"/>
        <v>12849993</v>
      </c>
      <c r="U33" s="116"/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/>
      <c r="E34" s="101"/>
      <c r="F34" s="100"/>
      <c r="G34" s="129">
        <f>C34+D34+E34-F34</f>
        <v>12849993</v>
      </c>
      <c r="H34" s="131">
        <f>G34</f>
        <v>12849993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2">
        <f t="shared" si="10"/>
        <v>12849993</v>
      </c>
      <c r="U34" s="116"/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>C35+D35+E35-F35</f>
        <v>0</v>
      </c>
      <c r="H35" s="129">
        <f t="shared" ref="H35:S36" si="14">D35+E35+F35-G35</f>
        <v>0</v>
      </c>
      <c r="I35" s="129">
        <f t="shared" si="14"/>
        <v>0</v>
      </c>
      <c r="J35" s="129">
        <f t="shared" si="14"/>
        <v>0</v>
      </c>
      <c r="K35" s="129">
        <f t="shared" si="14"/>
        <v>0</v>
      </c>
      <c r="L35" s="129">
        <f t="shared" si="14"/>
        <v>0</v>
      </c>
      <c r="M35" s="129">
        <f t="shared" si="14"/>
        <v>0</v>
      </c>
      <c r="N35" s="129">
        <f t="shared" si="14"/>
        <v>0</v>
      </c>
      <c r="O35" s="129">
        <f t="shared" si="14"/>
        <v>0</v>
      </c>
      <c r="P35" s="129">
        <f t="shared" si="14"/>
        <v>0</v>
      </c>
      <c r="Q35" s="129">
        <f t="shared" si="14"/>
        <v>0</v>
      </c>
      <c r="R35" s="129">
        <f t="shared" si="14"/>
        <v>0</v>
      </c>
      <c r="S35" s="129">
        <f t="shared" si="14"/>
        <v>0</v>
      </c>
      <c r="T35" s="132">
        <f t="shared" si="10"/>
        <v>0</v>
      </c>
      <c r="U35" s="116"/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>C36+D36+E36-F36</f>
        <v>0</v>
      </c>
      <c r="H36" s="129">
        <f t="shared" si="14"/>
        <v>0</v>
      </c>
      <c r="I36" s="129">
        <f t="shared" si="14"/>
        <v>0</v>
      </c>
      <c r="J36" s="129">
        <f t="shared" si="14"/>
        <v>0</v>
      </c>
      <c r="K36" s="129">
        <f t="shared" si="14"/>
        <v>0</v>
      </c>
      <c r="L36" s="129">
        <f t="shared" si="14"/>
        <v>0</v>
      </c>
      <c r="M36" s="129">
        <f t="shared" si="14"/>
        <v>0</v>
      </c>
      <c r="N36" s="129">
        <f t="shared" si="14"/>
        <v>0</v>
      </c>
      <c r="O36" s="129">
        <f t="shared" si="14"/>
        <v>0</v>
      </c>
      <c r="P36" s="129">
        <f t="shared" si="14"/>
        <v>0</v>
      </c>
      <c r="Q36" s="129">
        <f t="shared" si="14"/>
        <v>0</v>
      </c>
      <c r="R36" s="129">
        <f t="shared" si="14"/>
        <v>0</v>
      </c>
      <c r="S36" s="129">
        <f t="shared" si="14"/>
        <v>0</v>
      </c>
      <c r="T36" s="132">
        <f t="shared" si="10"/>
        <v>0</v>
      </c>
      <c r="U36" s="116"/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0</v>
      </c>
      <c r="E37" s="154">
        <f>E38+E43</f>
        <v>0</v>
      </c>
      <c r="F37" s="154">
        <f>F38+F43</f>
        <v>0</v>
      </c>
      <c r="G37" s="154">
        <f>G38+G43</f>
        <v>91648328</v>
      </c>
      <c r="H37" s="154">
        <f t="shared" ref="H37:S37" si="15">H38+H43</f>
        <v>4884861</v>
      </c>
      <c r="I37" s="154">
        <f t="shared" si="15"/>
        <v>15964861</v>
      </c>
      <c r="J37" s="154">
        <f t="shared" si="15"/>
        <v>20384861</v>
      </c>
      <c r="K37" s="154">
        <f t="shared" si="15"/>
        <v>9084861</v>
      </c>
      <c r="L37" s="154">
        <f t="shared" si="15"/>
        <v>5284861</v>
      </c>
      <c r="M37" s="154">
        <f t="shared" si="15"/>
        <v>4884861</v>
      </c>
      <c r="N37" s="154">
        <f t="shared" si="15"/>
        <v>4884861</v>
      </c>
      <c r="O37" s="154">
        <f t="shared" si="15"/>
        <v>4884861</v>
      </c>
      <c r="P37" s="154">
        <f t="shared" si="15"/>
        <v>5284861</v>
      </c>
      <c r="Q37" s="154">
        <f t="shared" si="15"/>
        <v>4884861</v>
      </c>
      <c r="R37" s="154">
        <f t="shared" si="15"/>
        <v>5834861</v>
      </c>
      <c r="S37" s="154">
        <f t="shared" si="15"/>
        <v>5384861</v>
      </c>
      <c r="T37" s="157">
        <f>T43+T38</f>
        <v>91648328.400000006</v>
      </c>
      <c r="U37" s="116"/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0</v>
      </c>
      <c r="E38" s="151">
        <f>SUM(E39:E42)</f>
        <v>0</v>
      </c>
      <c r="F38" s="151">
        <f>SUM(F39:F42)</f>
        <v>0</v>
      </c>
      <c r="G38" s="200">
        <f>SUM(G39:G42)</f>
        <v>16200000</v>
      </c>
      <c r="H38" s="200">
        <f t="shared" ref="H38:T38" si="16">SUM(H39:H42)</f>
        <v>0</v>
      </c>
      <c r="I38" s="200">
        <f t="shared" si="16"/>
        <v>9000000</v>
      </c>
      <c r="J38" s="200">
        <f t="shared" si="16"/>
        <v>3000000</v>
      </c>
      <c r="K38" s="200">
        <f t="shared" si="16"/>
        <v>4200000</v>
      </c>
      <c r="L38" s="200">
        <f t="shared" si="16"/>
        <v>0</v>
      </c>
      <c r="M38" s="200">
        <f t="shared" si="16"/>
        <v>0</v>
      </c>
      <c r="N38" s="200">
        <f t="shared" si="16"/>
        <v>0</v>
      </c>
      <c r="O38" s="200">
        <f t="shared" si="16"/>
        <v>0</v>
      </c>
      <c r="P38" s="200">
        <f t="shared" si="16"/>
        <v>0</v>
      </c>
      <c r="Q38" s="200">
        <f t="shared" si="16"/>
        <v>0</v>
      </c>
      <c r="R38" s="200">
        <f t="shared" si="16"/>
        <v>0</v>
      </c>
      <c r="S38" s="200">
        <f t="shared" si="16"/>
        <v>0</v>
      </c>
      <c r="T38" s="200">
        <f t="shared" si="16"/>
        <v>16200000</v>
      </c>
      <c r="U38" s="116"/>
    </row>
    <row r="39" spans="1:21" x14ac:dyDescent="0.2">
      <c r="A39" s="191" t="s">
        <v>48</v>
      </c>
      <c r="B39" s="148" t="s">
        <v>49</v>
      </c>
      <c r="C39" s="193">
        <v>3000000</v>
      </c>
      <c r="D39" s="98"/>
      <c r="E39" s="99"/>
      <c r="F39" s="100"/>
      <c r="G39" s="129">
        <f>C39+D39+E39-F39</f>
        <v>3000000</v>
      </c>
      <c r="H39" s="131"/>
      <c r="I39" s="25"/>
      <c r="J39" s="25">
        <f>G39</f>
        <v>3000000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32">
        <f t="shared" ref="T39:T63" si="17">SUM(H39:S39)</f>
        <v>3000000</v>
      </c>
      <c r="U39" s="116"/>
    </row>
    <row r="40" spans="1:21" x14ac:dyDescent="0.2">
      <c r="A40" s="191" t="s">
        <v>50</v>
      </c>
      <c r="B40" s="149" t="s">
        <v>51</v>
      </c>
      <c r="C40" s="193">
        <v>12000000</v>
      </c>
      <c r="D40" s="135"/>
      <c r="E40" s="99"/>
      <c r="F40" s="100"/>
      <c r="G40" s="129">
        <f>C40+D40+E40-F40</f>
        <v>12000000</v>
      </c>
      <c r="H40" s="130"/>
      <c r="I40" s="130">
        <f>9000000</f>
        <v>9000000</v>
      </c>
      <c r="J40" s="130">
        <v>0</v>
      </c>
      <c r="K40" s="130">
        <v>3000000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2">
        <f t="shared" si="17"/>
        <v>12000000</v>
      </c>
      <c r="U40" s="116"/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/>
      <c r="F41" s="100"/>
      <c r="G41" s="129">
        <f>C41+D41+E41-F41</f>
        <v>1200000</v>
      </c>
      <c r="H41" s="131"/>
      <c r="I41" s="130"/>
      <c r="J41" s="130"/>
      <c r="K41" s="130">
        <v>1200000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/>
      <c r="T41" s="132">
        <f t="shared" si="17"/>
        <v>1200000</v>
      </c>
      <c r="U41" s="116"/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>C42+D42+E42-F42</f>
        <v>0</v>
      </c>
      <c r="H42" s="131">
        <f t="shared" ref="H42:R42" si="18">ROUND($G$42/12,-1)</f>
        <v>0</v>
      </c>
      <c r="I42" s="130"/>
      <c r="J42" s="130">
        <v>0</v>
      </c>
      <c r="K42" s="130">
        <v>0</v>
      </c>
      <c r="L42" s="131">
        <f t="shared" si="18"/>
        <v>0</v>
      </c>
      <c r="M42" s="131">
        <f t="shared" si="18"/>
        <v>0</v>
      </c>
      <c r="N42" s="131">
        <f t="shared" si="18"/>
        <v>0</v>
      </c>
      <c r="O42" s="131">
        <f t="shared" si="18"/>
        <v>0</v>
      </c>
      <c r="P42" s="131">
        <f t="shared" si="18"/>
        <v>0</v>
      </c>
      <c r="Q42" s="131">
        <f t="shared" si="18"/>
        <v>0</v>
      </c>
      <c r="R42" s="131">
        <f t="shared" si="18"/>
        <v>0</v>
      </c>
      <c r="S42" s="131">
        <f>G42-SUM(H42:R42)</f>
        <v>0</v>
      </c>
      <c r="T42" s="132">
        <f t="shared" si="17"/>
        <v>0</v>
      </c>
      <c r="U42" s="116"/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0</v>
      </c>
      <c r="E43" s="192">
        <f>SUM(E44:E58)</f>
        <v>0</v>
      </c>
      <c r="F43" s="192">
        <f>SUM(F44:F57)</f>
        <v>0</v>
      </c>
      <c r="G43" s="194">
        <f>ROUND(SUM(G44:G58),0)</f>
        <v>75448328</v>
      </c>
      <c r="H43" s="194">
        <f t="shared" ref="H43:S43" si="19">ROUND(SUM(H44:H58),0)</f>
        <v>4884861</v>
      </c>
      <c r="I43" s="194">
        <f t="shared" si="19"/>
        <v>6964861</v>
      </c>
      <c r="J43" s="194">
        <f t="shared" si="19"/>
        <v>17384861</v>
      </c>
      <c r="K43" s="194">
        <f t="shared" si="19"/>
        <v>4884861</v>
      </c>
      <c r="L43" s="194">
        <f t="shared" si="19"/>
        <v>5284861</v>
      </c>
      <c r="M43" s="194">
        <f t="shared" si="19"/>
        <v>4884861</v>
      </c>
      <c r="N43" s="194">
        <f t="shared" si="19"/>
        <v>4884861</v>
      </c>
      <c r="O43" s="194">
        <f t="shared" si="19"/>
        <v>4884861</v>
      </c>
      <c r="P43" s="194">
        <f t="shared" si="19"/>
        <v>5284861</v>
      </c>
      <c r="Q43" s="194">
        <f t="shared" si="19"/>
        <v>4884861</v>
      </c>
      <c r="R43" s="194">
        <f t="shared" si="19"/>
        <v>5834861</v>
      </c>
      <c r="S43" s="194">
        <f t="shared" si="19"/>
        <v>5384861</v>
      </c>
      <c r="T43" s="195">
        <f>SUM(T44:T58)</f>
        <v>75448328.400000006</v>
      </c>
      <c r="U43" s="116"/>
    </row>
    <row r="44" spans="1:21" x14ac:dyDescent="0.2">
      <c r="A44" s="191" t="s">
        <v>58</v>
      </c>
      <c r="B44" s="148" t="s">
        <v>59</v>
      </c>
      <c r="C44" s="193">
        <v>180000</v>
      </c>
      <c r="D44" s="135"/>
      <c r="E44" s="101"/>
      <c r="F44" s="100"/>
      <c r="G44" s="129">
        <f>C44+D44+E44-F44</f>
        <v>180000</v>
      </c>
      <c r="H44" s="130"/>
      <c r="I44" s="130">
        <v>180000</v>
      </c>
      <c r="J44" s="130"/>
      <c r="K44" s="130"/>
      <c r="L44" s="134"/>
      <c r="M44" s="130"/>
      <c r="N44" s="130"/>
      <c r="O44" s="134"/>
      <c r="P44" s="130"/>
      <c r="Q44" s="130"/>
      <c r="R44" s="134"/>
      <c r="S44" s="134"/>
      <c r="T44" s="132">
        <f t="shared" si="17"/>
        <v>180000</v>
      </c>
      <c r="U44" s="116"/>
    </row>
    <row r="45" spans="1:21" x14ac:dyDescent="0.2">
      <c r="A45" s="191">
        <v>2020120202</v>
      </c>
      <c r="B45" s="148" t="s">
        <v>61</v>
      </c>
      <c r="C45" s="193">
        <v>39298328</v>
      </c>
      <c r="D45" s="135"/>
      <c r="E45" s="101"/>
      <c r="F45" s="100"/>
      <c r="G45" s="129">
        <f t="shared" ref="G45:G76" si="20">C45+D45+E45-F45</f>
        <v>39298328</v>
      </c>
      <c r="H45" s="130">
        <f>ROUND(($G$45/12),1)</f>
        <v>3274860.7</v>
      </c>
      <c r="I45" s="130">
        <f t="shared" ref="I45:S45" si="21">ROUND(($G$45/12),1)</f>
        <v>3274860.7</v>
      </c>
      <c r="J45" s="130">
        <f t="shared" si="21"/>
        <v>3274860.7</v>
      </c>
      <c r="K45" s="130">
        <f t="shared" si="21"/>
        <v>3274860.7</v>
      </c>
      <c r="L45" s="130">
        <f t="shared" si="21"/>
        <v>3274860.7</v>
      </c>
      <c r="M45" s="130">
        <f t="shared" si="21"/>
        <v>3274860.7</v>
      </c>
      <c r="N45" s="130">
        <f t="shared" si="21"/>
        <v>3274860.7</v>
      </c>
      <c r="O45" s="130">
        <f t="shared" si="21"/>
        <v>3274860.7</v>
      </c>
      <c r="P45" s="130">
        <f t="shared" si="21"/>
        <v>3274860.7</v>
      </c>
      <c r="Q45" s="130">
        <f t="shared" si="21"/>
        <v>3274860.7</v>
      </c>
      <c r="R45" s="130">
        <f t="shared" si="21"/>
        <v>3274860.7</v>
      </c>
      <c r="S45" s="130">
        <f t="shared" si="21"/>
        <v>3274860.7</v>
      </c>
      <c r="T45" s="132">
        <f t="shared" si="17"/>
        <v>39298328.399999999</v>
      </c>
      <c r="U45" s="116"/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/>
      <c r="G46" s="129">
        <f t="shared" si="20"/>
        <v>1200000</v>
      </c>
      <c r="H46" s="130"/>
      <c r="I46" s="41">
        <v>400000</v>
      </c>
      <c r="J46" s="41"/>
      <c r="K46" s="41"/>
      <c r="L46" s="41">
        <v>400000</v>
      </c>
      <c r="M46" s="41"/>
      <c r="N46" s="41"/>
      <c r="O46" s="131"/>
      <c r="P46" s="131">
        <v>400000</v>
      </c>
      <c r="Q46" s="41"/>
      <c r="R46" s="131"/>
      <c r="S46" s="131"/>
      <c r="T46" s="132">
        <f t="shared" si="17"/>
        <v>1200000</v>
      </c>
      <c r="U46" s="116"/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/>
      <c r="G47" s="129">
        <f t="shared" si="20"/>
        <v>10800000</v>
      </c>
      <c r="H47" s="130">
        <f>ROUND(($G$47/12),1)</f>
        <v>900000</v>
      </c>
      <c r="I47" s="130">
        <f t="shared" ref="I47:S47" si="22">ROUND(($G$47/12),1)</f>
        <v>900000</v>
      </c>
      <c r="J47" s="130">
        <f t="shared" si="22"/>
        <v>900000</v>
      </c>
      <c r="K47" s="130">
        <f t="shared" si="22"/>
        <v>900000</v>
      </c>
      <c r="L47" s="130">
        <f t="shared" si="22"/>
        <v>900000</v>
      </c>
      <c r="M47" s="130">
        <f t="shared" si="22"/>
        <v>900000</v>
      </c>
      <c r="N47" s="130">
        <f t="shared" si="22"/>
        <v>900000</v>
      </c>
      <c r="O47" s="130">
        <f t="shared" si="22"/>
        <v>900000</v>
      </c>
      <c r="P47" s="130">
        <f t="shared" si="22"/>
        <v>900000</v>
      </c>
      <c r="Q47" s="130">
        <f t="shared" si="22"/>
        <v>900000</v>
      </c>
      <c r="R47" s="130">
        <f t="shared" si="22"/>
        <v>900000</v>
      </c>
      <c r="S47" s="130">
        <f t="shared" si="22"/>
        <v>900000</v>
      </c>
      <c r="T47" s="132">
        <f t="shared" si="17"/>
        <v>10800000</v>
      </c>
      <c r="U47" s="116"/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/>
      <c r="G48" s="129">
        <f t="shared" si="20"/>
        <v>6600000</v>
      </c>
      <c r="H48" s="130">
        <f>ROUND(($G$48/12),1)</f>
        <v>550000</v>
      </c>
      <c r="I48" s="130">
        <f t="shared" ref="I48:S48" si="23">ROUND(($G$48/12),1)</f>
        <v>550000</v>
      </c>
      <c r="J48" s="130">
        <f t="shared" si="23"/>
        <v>550000</v>
      </c>
      <c r="K48" s="130">
        <f t="shared" si="23"/>
        <v>550000</v>
      </c>
      <c r="L48" s="130">
        <f t="shared" si="23"/>
        <v>550000</v>
      </c>
      <c r="M48" s="130">
        <f t="shared" si="23"/>
        <v>550000</v>
      </c>
      <c r="N48" s="130">
        <f t="shared" si="23"/>
        <v>550000</v>
      </c>
      <c r="O48" s="130">
        <f t="shared" si="23"/>
        <v>550000</v>
      </c>
      <c r="P48" s="130">
        <f t="shared" si="23"/>
        <v>550000</v>
      </c>
      <c r="Q48" s="130">
        <f t="shared" si="23"/>
        <v>550000</v>
      </c>
      <c r="R48" s="130">
        <f t="shared" si="23"/>
        <v>550000</v>
      </c>
      <c r="S48" s="130">
        <f t="shared" si="23"/>
        <v>550000</v>
      </c>
      <c r="T48" s="132">
        <f t="shared" si="17"/>
        <v>6600000</v>
      </c>
      <c r="U48" s="116"/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/>
      <c r="G49" s="129">
        <f t="shared" si="20"/>
        <v>1920000</v>
      </c>
      <c r="H49" s="130">
        <f>ROUND(($G$49/12),0)</f>
        <v>160000</v>
      </c>
      <c r="I49" s="130">
        <f t="shared" ref="I49:S49" si="24">ROUND(($G$49/12),0)</f>
        <v>160000</v>
      </c>
      <c r="J49" s="130">
        <f t="shared" si="24"/>
        <v>160000</v>
      </c>
      <c r="K49" s="130">
        <f t="shared" si="24"/>
        <v>160000</v>
      </c>
      <c r="L49" s="130">
        <f t="shared" si="24"/>
        <v>160000</v>
      </c>
      <c r="M49" s="130">
        <f t="shared" si="24"/>
        <v>160000</v>
      </c>
      <c r="N49" s="130">
        <f t="shared" si="24"/>
        <v>160000</v>
      </c>
      <c r="O49" s="130">
        <f t="shared" si="24"/>
        <v>160000</v>
      </c>
      <c r="P49" s="130">
        <f t="shared" si="24"/>
        <v>160000</v>
      </c>
      <c r="Q49" s="130">
        <f t="shared" si="24"/>
        <v>160000</v>
      </c>
      <c r="R49" s="130">
        <f t="shared" si="24"/>
        <v>160000</v>
      </c>
      <c r="S49" s="130">
        <f t="shared" si="24"/>
        <v>160000</v>
      </c>
      <c r="T49" s="132">
        <f t="shared" si="17"/>
        <v>1920000</v>
      </c>
      <c r="U49" s="116"/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/>
      <c r="G50" s="129">
        <f t="shared" si="20"/>
        <v>1500000</v>
      </c>
      <c r="H50" s="130">
        <v>0</v>
      </c>
      <c r="I50" s="130">
        <v>1500000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2">
        <f t="shared" si="17"/>
        <v>1500000</v>
      </c>
      <c r="U50" s="116"/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20"/>
        <v>0</v>
      </c>
      <c r="H51" s="129">
        <f t="shared" ref="H51:S51" si="25">D51+E51+F51-G51</f>
        <v>0</v>
      </c>
      <c r="I51" s="129">
        <f t="shared" si="25"/>
        <v>0</v>
      </c>
      <c r="J51" s="129">
        <f t="shared" si="25"/>
        <v>0</v>
      </c>
      <c r="K51" s="129">
        <f t="shared" si="25"/>
        <v>0</v>
      </c>
      <c r="L51" s="129">
        <f t="shared" si="25"/>
        <v>0</v>
      </c>
      <c r="M51" s="129">
        <f t="shared" si="25"/>
        <v>0</v>
      </c>
      <c r="N51" s="129">
        <f t="shared" si="25"/>
        <v>0</v>
      </c>
      <c r="O51" s="129">
        <f t="shared" si="25"/>
        <v>0</v>
      </c>
      <c r="P51" s="129">
        <f t="shared" si="25"/>
        <v>0</v>
      </c>
      <c r="Q51" s="129">
        <f t="shared" si="25"/>
        <v>0</v>
      </c>
      <c r="R51" s="129">
        <f t="shared" si="25"/>
        <v>0</v>
      </c>
      <c r="S51" s="129">
        <f t="shared" si="25"/>
        <v>0</v>
      </c>
      <c r="T51" s="132">
        <f t="shared" si="17"/>
        <v>0</v>
      </c>
      <c r="U51" s="116"/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/>
      <c r="F52" s="100"/>
      <c r="G52" s="129">
        <f t="shared" si="20"/>
        <v>8000000</v>
      </c>
      <c r="H52" s="130">
        <v>0</v>
      </c>
      <c r="I52" s="43">
        <v>0</v>
      </c>
      <c r="J52" s="43">
        <v>7500000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131">
        <v>0</v>
      </c>
      <c r="S52" s="131">
        <v>500000</v>
      </c>
      <c r="T52" s="132">
        <f t="shared" si="17"/>
        <v>8000000</v>
      </c>
      <c r="U52" s="116"/>
    </row>
    <row r="53" spans="1:22" x14ac:dyDescent="0.2">
      <c r="A53" s="191" t="s">
        <v>76</v>
      </c>
      <c r="B53" s="149" t="s">
        <v>77</v>
      </c>
      <c r="C53" s="193">
        <v>5000000</v>
      </c>
      <c r="D53" s="98"/>
      <c r="E53" s="99"/>
      <c r="F53" s="100"/>
      <c r="G53" s="129">
        <f t="shared" si="20"/>
        <v>5000000</v>
      </c>
      <c r="H53" s="130">
        <v>0</v>
      </c>
      <c r="I53" s="43">
        <v>0</v>
      </c>
      <c r="J53" s="43">
        <v>5000000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32">
        <f t="shared" si="17"/>
        <v>5000000</v>
      </c>
      <c r="U53" s="116"/>
    </row>
    <row r="54" spans="1:22" x14ac:dyDescent="0.2">
      <c r="A54" s="191" t="s">
        <v>78</v>
      </c>
      <c r="B54" s="148" t="s">
        <v>79</v>
      </c>
      <c r="C54" s="193">
        <v>0</v>
      </c>
      <c r="D54" s="98"/>
      <c r="E54" s="99"/>
      <c r="F54" s="100"/>
      <c r="G54" s="129">
        <f t="shared" si="20"/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1">
        <v>0</v>
      </c>
      <c r="S54" s="131">
        <v>0</v>
      </c>
      <c r="T54" s="132">
        <f t="shared" si="17"/>
        <v>0</v>
      </c>
      <c r="U54" s="116"/>
    </row>
    <row r="55" spans="1:22" x14ac:dyDescent="0.2">
      <c r="A55" s="191" t="s">
        <v>80</v>
      </c>
      <c r="B55" s="148" t="s">
        <v>81</v>
      </c>
      <c r="C55" s="193">
        <v>0</v>
      </c>
      <c r="D55" s="98"/>
      <c r="E55" s="99"/>
      <c r="F55" s="100"/>
      <c r="G55" s="129">
        <f t="shared" si="20"/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1">
        <v>0</v>
      </c>
      <c r="S55" s="131">
        <v>0</v>
      </c>
      <c r="T55" s="132">
        <f t="shared" si="17"/>
        <v>0</v>
      </c>
      <c r="U55" s="116"/>
    </row>
    <row r="56" spans="1:22" x14ac:dyDescent="0.2">
      <c r="A56" s="191">
        <v>2020120213</v>
      </c>
      <c r="B56" s="148" t="s">
        <v>83</v>
      </c>
      <c r="C56" s="193">
        <v>0</v>
      </c>
      <c r="D56" s="98"/>
      <c r="E56" s="99"/>
      <c r="F56" s="100"/>
      <c r="G56" s="129">
        <f t="shared" si="20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17"/>
        <v>0</v>
      </c>
      <c r="U56" s="116"/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20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17"/>
        <v>0</v>
      </c>
      <c r="U57" s="116"/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/>
      <c r="F58" s="100"/>
      <c r="G58" s="129">
        <f t="shared" si="20"/>
        <v>950000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950000</v>
      </c>
      <c r="S58" s="131"/>
      <c r="T58" s="132">
        <f t="shared" si="17"/>
        <v>950000</v>
      </c>
      <c r="U58" s="116"/>
    </row>
    <row r="59" spans="1:22" x14ac:dyDescent="0.2">
      <c r="A59" s="205" t="s">
        <v>86</v>
      </c>
      <c r="B59" s="192" t="s">
        <v>155</v>
      </c>
      <c r="C59" s="192">
        <f>SUM(C60:C63)</f>
        <v>83777302.320260897</v>
      </c>
      <c r="D59" s="192">
        <f>SUM(D60:D63)</f>
        <v>0</v>
      </c>
      <c r="E59" s="192">
        <f>SUM(E60:E63)</f>
        <v>0</v>
      </c>
      <c r="F59" s="192">
        <f>SUM(F60:F63)</f>
        <v>0</v>
      </c>
      <c r="G59" s="194">
        <f>ROUND(SUM(G60:G63),0)</f>
        <v>83777302</v>
      </c>
      <c r="H59" s="194">
        <f t="shared" ref="H59:S59" si="26">ROUND(SUM(H60:H63),0)</f>
        <v>5368581</v>
      </c>
      <c r="I59" s="194">
        <f t="shared" si="26"/>
        <v>5368581</v>
      </c>
      <c r="J59" s="194">
        <f t="shared" si="26"/>
        <v>5368581</v>
      </c>
      <c r="K59" s="194">
        <f t="shared" si="26"/>
        <v>5368581</v>
      </c>
      <c r="L59" s="194">
        <f t="shared" si="26"/>
        <v>5368581</v>
      </c>
      <c r="M59" s="194">
        <f t="shared" si="26"/>
        <v>5368581</v>
      </c>
      <c r="N59" s="194">
        <f t="shared" si="26"/>
        <v>5368581</v>
      </c>
      <c r="O59" s="194">
        <f t="shared" si="26"/>
        <v>5368581</v>
      </c>
      <c r="P59" s="194">
        <f t="shared" si="26"/>
        <v>5368581</v>
      </c>
      <c r="Q59" s="194">
        <f t="shared" si="26"/>
        <v>5368581</v>
      </c>
      <c r="R59" s="194">
        <f t="shared" si="26"/>
        <v>5368581</v>
      </c>
      <c r="S59" s="194">
        <f t="shared" si="26"/>
        <v>24722911</v>
      </c>
      <c r="T59" s="194">
        <f>SUM(T60:T63)</f>
        <v>83777302</v>
      </c>
      <c r="U59" s="116"/>
    </row>
    <row r="60" spans="1:22" x14ac:dyDescent="0.2">
      <c r="A60" s="191" t="s">
        <v>88</v>
      </c>
      <c r="B60" s="148" t="s">
        <v>89</v>
      </c>
      <c r="C60" s="190">
        <v>13146617.570005897</v>
      </c>
      <c r="D60" s="98"/>
      <c r="E60" s="99"/>
      <c r="F60" s="100"/>
      <c r="G60" s="129">
        <f t="shared" si="20"/>
        <v>13146617.570005897</v>
      </c>
      <c r="H60" s="130"/>
      <c r="I60" s="42"/>
      <c r="J60" s="42"/>
      <c r="K60" s="42"/>
      <c r="L60" s="42"/>
      <c r="M60" s="42"/>
      <c r="N60" s="42"/>
      <c r="O60" s="131"/>
      <c r="P60" s="131"/>
      <c r="Q60" s="131"/>
      <c r="R60" s="131"/>
      <c r="S60" s="131">
        <v>13146618</v>
      </c>
      <c r="T60" s="132">
        <f t="shared" si="17"/>
        <v>13146618</v>
      </c>
      <c r="U60" s="116"/>
    </row>
    <row r="61" spans="1:22" x14ac:dyDescent="0.2">
      <c r="A61" s="191" t="s">
        <v>90</v>
      </c>
      <c r="B61" s="148" t="s">
        <v>91</v>
      </c>
      <c r="C61" s="190">
        <v>43392204</v>
      </c>
      <c r="D61" s="98"/>
      <c r="E61" s="99"/>
      <c r="F61" s="100"/>
      <c r="G61" s="129">
        <f t="shared" si="20"/>
        <v>43392204</v>
      </c>
      <c r="H61" s="130">
        <f>ROUND(($G$61/12),0)</f>
        <v>3616017</v>
      </c>
      <c r="I61" s="130">
        <f t="shared" ref="I61:R61" si="27">ROUND(($G$61/12),0)</f>
        <v>3616017</v>
      </c>
      <c r="J61" s="130">
        <f t="shared" si="27"/>
        <v>3616017</v>
      </c>
      <c r="K61" s="130">
        <f t="shared" si="27"/>
        <v>3616017</v>
      </c>
      <c r="L61" s="130">
        <f t="shared" si="27"/>
        <v>3616017</v>
      </c>
      <c r="M61" s="130">
        <f t="shared" si="27"/>
        <v>3616017</v>
      </c>
      <c r="N61" s="130">
        <f t="shared" si="27"/>
        <v>3616017</v>
      </c>
      <c r="O61" s="130">
        <f t="shared" si="27"/>
        <v>3616017</v>
      </c>
      <c r="P61" s="130">
        <f t="shared" si="27"/>
        <v>3616017</v>
      </c>
      <c r="Q61" s="130">
        <f t="shared" si="27"/>
        <v>3616017</v>
      </c>
      <c r="R61" s="130">
        <f t="shared" si="27"/>
        <v>3616017</v>
      </c>
      <c r="S61" s="130">
        <f>ROUND(($G$61/12),0)</f>
        <v>3616017</v>
      </c>
      <c r="T61" s="132">
        <f t="shared" si="17"/>
        <v>43392204</v>
      </c>
      <c r="U61" s="116"/>
      <c r="V61" s="116"/>
    </row>
    <row r="62" spans="1:22" x14ac:dyDescent="0.2">
      <c r="A62" s="191">
        <v>2020110304</v>
      </c>
      <c r="B62" s="148" t="s">
        <v>92</v>
      </c>
      <c r="C62" s="190">
        <v>21030768.590477761</v>
      </c>
      <c r="D62" s="98"/>
      <c r="E62" s="99"/>
      <c r="F62" s="100"/>
      <c r="G62" s="129">
        <f t="shared" si="20"/>
        <v>21030768.590477761</v>
      </c>
      <c r="H62" s="130">
        <f>ROUND(($G$62/12),0)</f>
        <v>1752564</v>
      </c>
      <c r="I62" s="130">
        <f t="shared" ref="I62:S62" si="28">ROUND(($G$62/12),0)</f>
        <v>1752564</v>
      </c>
      <c r="J62" s="130">
        <f t="shared" si="28"/>
        <v>1752564</v>
      </c>
      <c r="K62" s="130">
        <f t="shared" si="28"/>
        <v>1752564</v>
      </c>
      <c r="L62" s="130">
        <f t="shared" si="28"/>
        <v>1752564</v>
      </c>
      <c r="M62" s="130">
        <f t="shared" si="28"/>
        <v>1752564</v>
      </c>
      <c r="N62" s="130">
        <f t="shared" si="28"/>
        <v>1752564</v>
      </c>
      <c r="O62" s="130">
        <f t="shared" si="28"/>
        <v>1752564</v>
      </c>
      <c r="P62" s="130">
        <f t="shared" si="28"/>
        <v>1752564</v>
      </c>
      <c r="Q62" s="130">
        <f t="shared" si="28"/>
        <v>1752564</v>
      </c>
      <c r="R62" s="130">
        <f t="shared" si="28"/>
        <v>1752564</v>
      </c>
      <c r="S62" s="130">
        <f t="shared" si="28"/>
        <v>1752564</v>
      </c>
      <c r="T62" s="132">
        <f t="shared" si="17"/>
        <v>21030768</v>
      </c>
      <c r="U62" s="116"/>
    </row>
    <row r="63" spans="1:22" x14ac:dyDescent="0.2">
      <c r="A63" s="191">
        <v>2020110305</v>
      </c>
      <c r="B63" s="148" t="s">
        <v>93</v>
      </c>
      <c r="C63" s="190">
        <v>6207712.159777239</v>
      </c>
      <c r="D63" s="98"/>
      <c r="E63" s="99"/>
      <c r="F63" s="100"/>
      <c r="G63" s="129">
        <f t="shared" si="20"/>
        <v>6207712.159777239</v>
      </c>
      <c r="H63" s="136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131">
        <v>6207712</v>
      </c>
      <c r="T63" s="132">
        <f t="shared" si="17"/>
        <v>6207712</v>
      </c>
      <c r="U63" s="116"/>
    </row>
    <row r="64" spans="1:22" x14ac:dyDescent="0.2">
      <c r="A64" s="205">
        <v>20201104</v>
      </c>
      <c r="B64" s="192" t="s">
        <v>156</v>
      </c>
      <c r="C64" s="192">
        <f>SUM(C65:C74)</f>
        <v>127422616</v>
      </c>
      <c r="D64" s="192">
        <f>SUM(D65:D74)</f>
        <v>0</v>
      </c>
      <c r="E64" s="192">
        <f>SUM(E65:E74)</f>
        <v>0</v>
      </c>
      <c r="F64" s="192">
        <f>SUM(F65:F74)</f>
        <v>0</v>
      </c>
      <c r="G64" s="195">
        <f>SUM(G65:G74)</f>
        <v>127422616</v>
      </c>
      <c r="H64" s="195">
        <f t="shared" ref="H64:S64" si="29">SUM(H65:H74)</f>
        <v>7403191.5999999996</v>
      </c>
      <c r="I64" s="195">
        <f t="shared" si="29"/>
        <v>7403191.5999999996</v>
      </c>
      <c r="J64" s="195">
        <f t="shared" si="29"/>
        <v>7403191.5999999996</v>
      </c>
      <c r="K64" s="195">
        <f t="shared" si="29"/>
        <v>7403191.5999999996</v>
      </c>
      <c r="L64" s="195">
        <f t="shared" si="29"/>
        <v>7403191.5999999996</v>
      </c>
      <c r="M64" s="195">
        <f t="shared" si="29"/>
        <v>7403191.5999999996</v>
      </c>
      <c r="N64" s="195">
        <f t="shared" si="29"/>
        <v>7403191.5999999996</v>
      </c>
      <c r="O64" s="195">
        <f t="shared" si="29"/>
        <v>7403191.5999999996</v>
      </c>
      <c r="P64" s="195">
        <f t="shared" si="29"/>
        <v>7403191.5999999996</v>
      </c>
      <c r="Q64" s="195">
        <f t="shared" si="29"/>
        <v>7403191.5999999996</v>
      </c>
      <c r="R64" s="195">
        <f t="shared" si="29"/>
        <v>7403191.5999999996</v>
      </c>
      <c r="S64" s="195">
        <f t="shared" si="29"/>
        <v>45987508.600000001</v>
      </c>
      <c r="T64" s="195">
        <f>SUM(T65:T74)</f>
        <v>127422616</v>
      </c>
      <c r="U64" s="116"/>
    </row>
    <row r="65" spans="1:21" x14ac:dyDescent="0.2">
      <c r="A65" s="206" t="s">
        <v>95</v>
      </c>
      <c r="B65" s="148" t="s">
        <v>96</v>
      </c>
      <c r="C65" s="190">
        <v>38584317</v>
      </c>
      <c r="D65" s="98"/>
      <c r="E65" s="99"/>
      <c r="F65" s="100"/>
      <c r="G65" s="129">
        <f>ROUND((C65+D65+E65-F65),0)</f>
        <v>38584317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131">
        <v>38584317</v>
      </c>
      <c r="T65" s="132">
        <f>ROUND(SUM(H65:S65),0)</f>
        <v>38584317</v>
      </c>
      <c r="U65" s="116"/>
    </row>
    <row r="66" spans="1:21" x14ac:dyDescent="0.2">
      <c r="A66" s="191" t="s">
        <v>97</v>
      </c>
      <c r="B66" s="148" t="s">
        <v>91</v>
      </c>
      <c r="C66" s="190">
        <v>0</v>
      </c>
      <c r="D66" s="98"/>
      <c r="E66" s="99"/>
      <c r="F66" s="100"/>
      <c r="G66" s="129">
        <f t="shared" ref="G66:G74" si="30">ROUND((C66+D66+E66-F66),0)</f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1"/>
      <c r="T66" s="132">
        <f t="shared" ref="T66:T76" si="31">ROUND(SUM(H66:S66),0)</f>
        <v>0</v>
      </c>
      <c r="U66" s="116"/>
    </row>
    <row r="67" spans="1:21" x14ac:dyDescent="0.2">
      <c r="A67" s="191" t="s">
        <v>98</v>
      </c>
      <c r="B67" s="148" t="s">
        <v>99</v>
      </c>
      <c r="C67" s="190">
        <v>2664792</v>
      </c>
      <c r="D67" s="98"/>
      <c r="E67" s="99"/>
      <c r="F67" s="100"/>
      <c r="G67" s="129">
        <f t="shared" si="30"/>
        <v>2664792</v>
      </c>
      <c r="H67" s="130">
        <f>ROUND(($G$67/12),0)</f>
        <v>222066</v>
      </c>
      <c r="I67" s="130">
        <f t="shared" ref="I67:S67" si="32">ROUND(($G$67/12),0)</f>
        <v>222066</v>
      </c>
      <c r="J67" s="130">
        <f t="shared" si="32"/>
        <v>222066</v>
      </c>
      <c r="K67" s="130">
        <f t="shared" si="32"/>
        <v>222066</v>
      </c>
      <c r="L67" s="130">
        <f t="shared" si="32"/>
        <v>222066</v>
      </c>
      <c r="M67" s="130">
        <f t="shared" si="32"/>
        <v>222066</v>
      </c>
      <c r="N67" s="130">
        <f t="shared" si="32"/>
        <v>222066</v>
      </c>
      <c r="O67" s="130">
        <f t="shared" si="32"/>
        <v>222066</v>
      </c>
      <c r="P67" s="130">
        <f t="shared" si="32"/>
        <v>222066</v>
      </c>
      <c r="Q67" s="130">
        <f t="shared" si="32"/>
        <v>222066</v>
      </c>
      <c r="R67" s="130">
        <f t="shared" si="32"/>
        <v>222066</v>
      </c>
      <c r="S67" s="130">
        <f t="shared" si="32"/>
        <v>222066</v>
      </c>
      <c r="T67" s="132">
        <f t="shared" si="31"/>
        <v>2664792</v>
      </c>
      <c r="U67" s="116"/>
    </row>
    <row r="68" spans="1:21" x14ac:dyDescent="0.2">
      <c r="A68" s="191" t="s">
        <v>100</v>
      </c>
      <c r="B68" s="148" t="s">
        <v>92</v>
      </c>
      <c r="C68" s="190">
        <v>40228819</v>
      </c>
      <c r="D68" s="98"/>
      <c r="E68" s="99"/>
      <c r="F68" s="100"/>
      <c r="G68" s="129">
        <f t="shared" si="30"/>
        <v>40228819</v>
      </c>
      <c r="H68" s="130">
        <f>ROUND(($G$68/12),1)</f>
        <v>3352401.6</v>
      </c>
      <c r="I68" s="130">
        <f t="shared" ref="I68:S68" si="33">ROUND(($G$68/12),1)</f>
        <v>3352401.6</v>
      </c>
      <c r="J68" s="130">
        <f t="shared" si="33"/>
        <v>3352401.6</v>
      </c>
      <c r="K68" s="130">
        <f t="shared" si="33"/>
        <v>3352401.6</v>
      </c>
      <c r="L68" s="130">
        <f t="shared" si="33"/>
        <v>3352401.6</v>
      </c>
      <c r="M68" s="130">
        <f t="shared" si="33"/>
        <v>3352401.6</v>
      </c>
      <c r="N68" s="130">
        <f t="shared" si="33"/>
        <v>3352401.6</v>
      </c>
      <c r="O68" s="130">
        <f t="shared" si="33"/>
        <v>3352401.6</v>
      </c>
      <c r="P68" s="130">
        <f t="shared" si="33"/>
        <v>3352401.6</v>
      </c>
      <c r="Q68" s="130">
        <f t="shared" si="33"/>
        <v>3352401.6</v>
      </c>
      <c r="R68" s="130">
        <f t="shared" si="33"/>
        <v>3352401.6</v>
      </c>
      <c r="S68" s="130">
        <f t="shared" si="33"/>
        <v>3352401.6</v>
      </c>
      <c r="T68" s="132">
        <f t="shared" si="31"/>
        <v>40228819</v>
      </c>
      <c r="U68" s="116"/>
    </row>
    <row r="69" spans="1:21" x14ac:dyDescent="0.2">
      <c r="A69" s="191" t="s">
        <v>101</v>
      </c>
      <c r="B69" s="148" t="s">
        <v>102</v>
      </c>
      <c r="C69" s="190">
        <v>20419860</v>
      </c>
      <c r="D69" s="98"/>
      <c r="E69" s="99"/>
      <c r="F69" s="100"/>
      <c r="G69" s="129">
        <f t="shared" si="30"/>
        <v>20419860</v>
      </c>
      <c r="H69" s="130">
        <f>ROUND(($G$69/12),0)</f>
        <v>1701655</v>
      </c>
      <c r="I69" s="130">
        <f t="shared" ref="I69:S69" si="34">ROUND(($G$69/12),0)</f>
        <v>1701655</v>
      </c>
      <c r="J69" s="130">
        <f t="shared" si="34"/>
        <v>1701655</v>
      </c>
      <c r="K69" s="130">
        <f t="shared" si="34"/>
        <v>1701655</v>
      </c>
      <c r="L69" s="130">
        <f t="shared" si="34"/>
        <v>1701655</v>
      </c>
      <c r="M69" s="130">
        <f t="shared" si="34"/>
        <v>1701655</v>
      </c>
      <c r="N69" s="130">
        <f t="shared" si="34"/>
        <v>1701655</v>
      </c>
      <c r="O69" s="130">
        <f t="shared" si="34"/>
        <v>1701655</v>
      </c>
      <c r="P69" s="130">
        <f t="shared" si="34"/>
        <v>1701655</v>
      </c>
      <c r="Q69" s="130">
        <f t="shared" si="34"/>
        <v>1701655</v>
      </c>
      <c r="R69" s="130">
        <f t="shared" si="34"/>
        <v>1701655</v>
      </c>
      <c r="S69" s="130">
        <f t="shared" si="34"/>
        <v>1701655</v>
      </c>
      <c r="T69" s="132">
        <f t="shared" si="31"/>
        <v>20419860</v>
      </c>
      <c r="U69" s="116"/>
    </row>
    <row r="70" spans="1:21" x14ac:dyDescent="0.2">
      <c r="A70" s="191" t="s">
        <v>103</v>
      </c>
      <c r="B70" s="148" t="s">
        <v>104</v>
      </c>
      <c r="C70" s="190">
        <v>15314892</v>
      </c>
      <c r="D70" s="98"/>
      <c r="E70" s="99"/>
      <c r="F70" s="100"/>
      <c r="G70" s="129">
        <f t="shared" si="30"/>
        <v>15314892</v>
      </c>
      <c r="H70" s="130">
        <f>ROUND(($G$70/12),0)</f>
        <v>1276241</v>
      </c>
      <c r="I70" s="130">
        <f t="shared" ref="I70:S70" si="35">ROUND(($G$70/12),0)</f>
        <v>1276241</v>
      </c>
      <c r="J70" s="130">
        <f t="shared" si="35"/>
        <v>1276241</v>
      </c>
      <c r="K70" s="130">
        <f t="shared" si="35"/>
        <v>1276241</v>
      </c>
      <c r="L70" s="130">
        <f t="shared" si="35"/>
        <v>1276241</v>
      </c>
      <c r="M70" s="130">
        <f t="shared" si="35"/>
        <v>1276241</v>
      </c>
      <c r="N70" s="130">
        <f t="shared" si="35"/>
        <v>1276241</v>
      </c>
      <c r="O70" s="130">
        <f t="shared" si="35"/>
        <v>1276241</v>
      </c>
      <c r="P70" s="130">
        <f t="shared" si="35"/>
        <v>1276241</v>
      </c>
      <c r="Q70" s="130">
        <f t="shared" si="35"/>
        <v>1276241</v>
      </c>
      <c r="R70" s="130">
        <f t="shared" si="35"/>
        <v>1276241</v>
      </c>
      <c r="S70" s="130">
        <f t="shared" si="35"/>
        <v>1276241</v>
      </c>
      <c r="T70" s="132">
        <f t="shared" si="31"/>
        <v>15314892</v>
      </c>
      <c r="U70" s="116"/>
    </row>
    <row r="71" spans="1:21" x14ac:dyDescent="0.2">
      <c r="A71" s="191" t="s">
        <v>105</v>
      </c>
      <c r="B71" s="148" t="s">
        <v>106</v>
      </c>
      <c r="C71" s="190">
        <v>2552484</v>
      </c>
      <c r="D71" s="98"/>
      <c r="E71" s="99"/>
      <c r="F71" s="100"/>
      <c r="G71" s="129">
        <f t="shared" si="30"/>
        <v>2552484</v>
      </c>
      <c r="H71" s="130">
        <f>ROUND(($G$71/12),0)</f>
        <v>212707</v>
      </c>
      <c r="I71" s="130">
        <f t="shared" ref="I71:S71" si="36">ROUND(($G$71/12),0)</f>
        <v>212707</v>
      </c>
      <c r="J71" s="130">
        <f t="shared" si="36"/>
        <v>212707</v>
      </c>
      <c r="K71" s="130">
        <f t="shared" si="36"/>
        <v>212707</v>
      </c>
      <c r="L71" s="130">
        <f t="shared" si="36"/>
        <v>212707</v>
      </c>
      <c r="M71" s="130">
        <f t="shared" si="36"/>
        <v>212707</v>
      </c>
      <c r="N71" s="130">
        <f t="shared" si="36"/>
        <v>212707</v>
      </c>
      <c r="O71" s="130">
        <f t="shared" si="36"/>
        <v>212707</v>
      </c>
      <c r="P71" s="130">
        <f t="shared" si="36"/>
        <v>212707</v>
      </c>
      <c r="Q71" s="130">
        <f t="shared" si="36"/>
        <v>212707</v>
      </c>
      <c r="R71" s="130">
        <f t="shared" si="36"/>
        <v>212707</v>
      </c>
      <c r="S71" s="130">
        <f t="shared" si="36"/>
        <v>212707</v>
      </c>
      <c r="T71" s="132">
        <f t="shared" si="31"/>
        <v>2552484</v>
      </c>
      <c r="U71" s="116"/>
    </row>
    <row r="72" spans="1:21" x14ac:dyDescent="0.2">
      <c r="A72" s="191" t="s">
        <v>107</v>
      </c>
      <c r="B72" s="148" t="s">
        <v>108</v>
      </c>
      <c r="C72" s="190">
        <v>2552484</v>
      </c>
      <c r="D72" s="98"/>
      <c r="E72" s="99"/>
      <c r="F72" s="100"/>
      <c r="G72" s="129">
        <f t="shared" si="30"/>
        <v>2552484</v>
      </c>
      <c r="H72" s="130">
        <f>ROUND(($G$72/12),0)</f>
        <v>212707</v>
      </c>
      <c r="I72" s="130">
        <f t="shared" ref="I72:S72" si="37">ROUND(($G$72/12),0)</f>
        <v>212707</v>
      </c>
      <c r="J72" s="130">
        <f t="shared" si="37"/>
        <v>212707</v>
      </c>
      <c r="K72" s="130">
        <f t="shared" si="37"/>
        <v>212707</v>
      </c>
      <c r="L72" s="130">
        <f t="shared" si="37"/>
        <v>212707</v>
      </c>
      <c r="M72" s="130">
        <f t="shared" si="37"/>
        <v>212707</v>
      </c>
      <c r="N72" s="130">
        <f t="shared" si="37"/>
        <v>212707</v>
      </c>
      <c r="O72" s="130">
        <f t="shared" si="37"/>
        <v>212707</v>
      </c>
      <c r="P72" s="130">
        <f t="shared" si="37"/>
        <v>212707</v>
      </c>
      <c r="Q72" s="130">
        <f t="shared" si="37"/>
        <v>212707</v>
      </c>
      <c r="R72" s="130">
        <f t="shared" si="37"/>
        <v>212707</v>
      </c>
      <c r="S72" s="130">
        <f t="shared" si="37"/>
        <v>212707</v>
      </c>
      <c r="T72" s="132">
        <f t="shared" si="31"/>
        <v>2552484</v>
      </c>
      <c r="U72" s="116"/>
    </row>
    <row r="73" spans="1:21" x14ac:dyDescent="0.2">
      <c r="A73" s="191" t="s">
        <v>109</v>
      </c>
      <c r="B73" s="148" t="s">
        <v>110</v>
      </c>
      <c r="C73" s="190">
        <v>5104968</v>
      </c>
      <c r="D73" s="98"/>
      <c r="E73" s="99"/>
      <c r="F73" s="100"/>
      <c r="G73" s="129">
        <f t="shared" si="30"/>
        <v>5104968</v>
      </c>
      <c r="H73" s="130">
        <f>ROUND(($G$73/12),0)</f>
        <v>425414</v>
      </c>
      <c r="I73" s="130">
        <f t="shared" ref="I73:S73" si="38">ROUND(($G$73/12),0)</f>
        <v>425414</v>
      </c>
      <c r="J73" s="130">
        <f t="shared" si="38"/>
        <v>425414</v>
      </c>
      <c r="K73" s="130">
        <f t="shared" si="38"/>
        <v>425414</v>
      </c>
      <c r="L73" s="130">
        <f t="shared" si="38"/>
        <v>425414</v>
      </c>
      <c r="M73" s="130">
        <f t="shared" si="38"/>
        <v>425414</v>
      </c>
      <c r="N73" s="130">
        <f t="shared" si="38"/>
        <v>425414</v>
      </c>
      <c r="O73" s="130">
        <f t="shared" si="38"/>
        <v>425414</v>
      </c>
      <c r="P73" s="130">
        <f t="shared" si="38"/>
        <v>425414</v>
      </c>
      <c r="Q73" s="130">
        <f t="shared" si="38"/>
        <v>425414</v>
      </c>
      <c r="R73" s="130">
        <f t="shared" si="38"/>
        <v>425414</v>
      </c>
      <c r="S73" s="130">
        <f t="shared" si="38"/>
        <v>425414</v>
      </c>
      <c r="T73" s="132">
        <f t="shared" si="31"/>
        <v>5104968</v>
      </c>
      <c r="U73" s="116"/>
    </row>
    <row r="74" spans="1:21" x14ac:dyDescent="0.2">
      <c r="A74" s="191" t="s">
        <v>111</v>
      </c>
      <c r="B74" s="148" t="s">
        <v>112</v>
      </c>
      <c r="C74" s="193">
        <v>0</v>
      </c>
      <c r="D74" s="98">
        <v>0</v>
      </c>
      <c r="E74" s="99">
        <v>0</v>
      </c>
      <c r="F74" s="100">
        <v>0</v>
      </c>
      <c r="G74" s="129">
        <f t="shared" si="30"/>
        <v>0</v>
      </c>
      <c r="H74" s="130"/>
      <c r="I74" s="130"/>
      <c r="J74" s="130">
        <v>0</v>
      </c>
      <c r="K74" s="130">
        <v>0</v>
      </c>
      <c r="L74" s="130">
        <v>0</v>
      </c>
      <c r="M74" s="130">
        <v>0</v>
      </c>
      <c r="N74" s="130"/>
      <c r="O74" s="130">
        <v>0</v>
      </c>
      <c r="P74" s="130">
        <v>0</v>
      </c>
      <c r="Q74" s="131">
        <f>ROUND($G$74/12,-1)</f>
        <v>0</v>
      </c>
      <c r="R74" s="131">
        <f>ROUND($G$74/12,-1)</f>
        <v>0</v>
      </c>
      <c r="S74" s="131">
        <f>G74-SUM(H74:R74)</f>
        <v>0</v>
      </c>
      <c r="T74" s="132">
        <f t="shared" si="31"/>
        <v>0</v>
      </c>
    </row>
    <row r="75" spans="1:21" x14ac:dyDescent="0.2">
      <c r="A75" s="205">
        <v>20201301</v>
      </c>
      <c r="B75" s="192" t="s">
        <v>116</v>
      </c>
      <c r="C75" s="194">
        <f t="shared" ref="C75:T75" si="39">C76</f>
        <v>0</v>
      </c>
      <c r="D75" s="192">
        <f t="shared" si="39"/>
        <v>0</v>
      </c>
      <c r="E75" s="192">
        <f t="shared" si="39"/>
        <v>0</v>
      </c>
      <c r="F75" s="192">
        <f t="shared" si="39"/>
        <v>0</v>
      </c>
      <c r="G75" s="192">
        <f t="shared" si="39"/>
        <v>0</v>
      </c>
      <c r="H75" s="192">
        <f t="shared" si="39"/>
        <v>0</v>
      </c>
      <c r="I75" s="192">
        <f t="shared" si="39"/>
        <v>0</v>
      </c>
      <c r="J75" s="192">
        <f t="shared" si="39"/>
        <v>0</v>
      </c>
      <c r="K75" s="192">
        <f t="shared" si="39"/>
        <v>0</v>
      </c>
      <c r="L75" s="192">
        <f t="shared" si="39"/>
        <v>0</v>
      </c>
      <c r="M75" s="192">
        <f t="shared" si="39"/>
        <v>0</v>
      </c>
      <c r="N75" s="192">
        <f t="shared" si="39"/>
        <v>0</v>
      </c>
      <c r="O75" s="192">
        <f t="shared" si="39"/>
        <v>0</v>
      </c>
      <c r="P75" s="192">
        <f t="shared" si="39"/>
        <v>0</v>
      </c>
      <c r="Q75" s="192">
        <f t="shared" si="39"/>
        <v>0</v>
      </c>
      <c r="R75" s="192">
        <f t="shared" si="39"/>
        <v>0</v>
      </c>
      <c r="S75" s="192">
        <f t="shared" si="39"/>
        <v>0</v>
      </c>
      <c r="T75" s="192">
        <f t="shared" si="39"/>
        <v>0</v>
      </c>
    </row>
    <row r="76" spans="1:21" ht="13.5" thickBot="1" x14ac:dyDescent="0.25">
      <c r="A76" s="196">
        <v>2020130101</v>
      </c>
      <c r="B76" s="150" t="s">
        <v>165</v>
      </c>
      <c r="C76" s="132">
        <v>0</v>
      </c>
      <c r="D76" s="98"/>
      <c r="E76" s="99"/>
      <c r="F76" s="100"/>
      <c r="G76" s="198">
        <f t="shared" si="20"/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/>
      <c r="O76" s="199">
        <v>0</v>
      </c>
      <c r="P76" s="199"/>
      <c r="Q76" s="199"/>
      <c r="R76" s="199"/>
      <c r="S76" s="199">
        <v>0</v>
      </c>
      <c r="T76" s="132">
        <f t="shared" si="31"/>
        <v>0</v>
      </c>
    </row>
    <row r="77" spans="1:21" x14ac:dyDescent="0.2">
      <c r="A77" s="192"/>
      <c r="B77" s="192" t="s">
        <v>157</v>
      </c>
      <c r="C77" s="195">
        <f>C64+C59+C43+C38+C33+C23+C75</f>
        <v>973593066.23348069</v>
      </c>
      <c r="D77" s="192">
        <f>D64+D59+D43+D38+D33+D23+D75</f>
        <v>0</v>
      </c>
      <c r="E77" s="192">
        <f t="shared" ref="E77:R77" si="40">E64+E59+E43+E38+E33+E23</f>
        <v>0</v>
      </c>
      <c r="F77" s="192">
        <f t="shared" si="40"/>
        <v>0</v>
      </c>
      <c r="G77" s="195">
        <f>G64+G59+G43+G38+G33+G23+G75</f>
        <v>973593065.89999986</v>
      </c>
      <c r="H77" s="195">
        <f t="shared" si="40"/>
        <v>73261469.200000003</v>
      </c>
      <c r="I77" s="195">
        <f t="shared" si="40"/>
        <v>84740095.150000006</v>
      </c>
      <c r="J77" s="195">
        <f t="shared" si="40"/>
        <v>75911476.150000006</v>
      </c>
      <c r="K77" s="195">
        <f t="shared" si="40"/>
        <v>69324738.150000006</v>
      </c>
      <c r="L77" s="195">
        <f t="shared" si="40"/>
        <v>68249396.950000003</v>
      </c>
      <c r="M77" s="195">
        <f t="shared" si="40"/>
        <v>110189232.94999999</v>
      </c>
      <c r="N77" s="195">
        <f t="shared" si="40"/>
        <v>74455519.950000003</v>
      </c>
      <c r="O77" s="195">
        <f t="shared" si="40"/>
        <v>68274958.950000003</v>
      </c>
      <c r="P77" s="195">
        <f>P64+P59+P43+P38+P33+P23+P75</f>
        <v>60811475.950000003</v>
      </c>
      <c r="Q77" s="195">
        <f t="shared" si="40"/>
        <v>60411475.950000003</v>
      </c>
      <c r="R77" s="195">
        <f t="shared" si="40"/>
        <v>61361475.950000003</v>
      </c>
      <c r="S77" s="195">
        <f>S23+S33+S38+S43+S59+S64+S75</f>
        <v>166601754.94999999</v>
      </c>
      <c r="T77" s="195">
        <f>T75+T64+T59+T43+T38+T33+T23</f>
        <v>973593066.45000017</v>
      </c>
    </row>
    <row r="78" spans="1:21" x14ac:dyDescent="0.2">
      <c r="B78" s="106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1" x14ac:dyDescent="0.2">
      <c r="B79" s="106"/>
      <c r="C79" s="107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9"/>
    </row>
    <row r="80" spans="1:21" x14ac:dyDescent="0.2">
      <c r="B80" s="106"/>
      <c r="C80" s="102"/>
      <c r="D80" s="106"/>
      <c r="E80" s="102"/>
      <c r="F80" s="102"/>
      <c r="G80" s="118" t="s">
        <v>160</v>
      </c>
      <c r="H80" s="102"/>
      <c r="I80" s="102"/>
      <c r="J80" s="102"/>
      <c r="K80" s="102"/>
      <c r="L80" s="102"/>
      <c r="M80" s="102"/>
      <c r="N80" s="102"/>
      <c r="O80" s="102"/>
      <c r="P80" s="118" t="s">
        <v>158</v>
      </c>
      <c r="Q80" s="102"/>
      <c r="R80" s="102"/>
      <c r="S80" s="102"/>
      <c r="T80" s="137"/>
    </row>
    <row r="81" spans="2:20" x14ac:dyDescent="0.2">
      <c r="B81" s="106"/>
      <c r="C81" s="197"/>
      <c r="D81" s="106"/>
      <c r="E81" s="102"/>
      <c r="F81" s="138" t="s">
        <v>164</v>
      </c>
      <c r="G81" s="118"/>
      <c r="H81" s="102"/>
      <c r="I81" s="102"/>
      <c r="J81" s="102"/>
      <c r="K81" s="102"/>
      <c r="L81" s="102"/>
      <c r="M81" s="102"/>
      <c r="N81" s="102"/>
      <c r="O81" s="102"/>
      <c r="P81" s="102" t="s">
        <v>159</v>
      </c>
      <c r="Q81" s="118"/>
      <c r="R81" s="102"/>
      <c r="S81" s="102"/>
      <c r="T81" s="137"/>
    </row>
    <row r="82" spans="2:20" ht="13.5" thickBot="1" x14ac:dyDescent="0.25">
      <c r="B82" s="119"/>
      <c r="C82" s="139"/>
      <c r="D82" s="119"/>
      <c r="E82" s="139"/>
      <c r="F82" s="140"/>
      <c r="G82" s="140"/>
      <c r="H82" s="139"/>
      <c r="I82" s="139"/>
      <c r="J82" s="139"/>
      <c r="K82" s="139"/>
      <c r="L82" s="139"/>
      <c r="M82" s="139"/>
      <c r="N82" s="139"/>
      <c r="O82" s="139"/>
      <c r="P82" s="141"/>
      <c r="Q82" s="139"/>
      <c r="R82" s="139"/>
      <c r="S82" s="139"/>
      <c r="T82" s="142"/>
    </row>
    <row r="86" spans="2:20" x14ac:dyDescent="0.2">
      <c r="G86" s="116"/>
    </row>
    <row r="88" spans="2:20" x14ac:dyDescent="0.2">
      <c r="G88" s="116"/>
    </row>
    <row r="91" spans="2:20" x14ac:dyDescent="0.2">
      <c r="G91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3"/>
  <sheetViews>
    <sheetView zoomScale="98" zoomScaleNormal="98" zoomScaleSheetLayoutView="30" workbookViewId="0">
      <pane ySplit="1" topLeftCell="A68" activePane="bottomLeft" state="frozen"/>
      <selection activeCell="A33" sqref="A33"/>
      <selection pane="bottomLeft" activeCell="A33" sqref="A33"/>
    </sheetView>
  </sheetViews>
  <sheetFormatPr baseColWidth="10" defaultRowHeight="12.75" x14ac:dyDescent="0.2"/>
  <cols>
    <col min="1" max="1" width="2.75" style="103" customWidth="1"/>
    <col min="2" max="2" width="11" style="353"/>
    <col min="3" max="3" width="19.75" style="201" bestFit="1" customWidth="1"/>
    <col min="4" max="4" width="36.125" style="103" customWidth="1"/>
    <col min="5" max="5" width="19" style="103" customWidth="1"/>
    <col min="6" max="6" width="16.375" style="103" bestFit="1" customWidth="1"/>
    <col min="7" max="8" width="14.875" style="103" bestFit="1" customWidth="1"/>
    <col min="9" max="9" width="18.375" style="103" bestFit="1" customWidth="1"/>
    <col min="10" max="10" width="21.875" style="103" customWidth="1"/>
    <col min="11" max="11" width="16.375" style="103" bestFit="1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1" s="207" customFormat="1" ht="36.75" customHeight="1" x14ac:dyDescent="0.25">
      <c r="B1" s="340"/>
      <c r="C1" s="256"/>
      <c r="D1" s="257" t="s">
        <v>3</v>
      </c>
      <c r="E1" s="258" t="s">
        <v>168</v>
      </c>
      <c r="F1" s="258" t="s">
        <v>122</v>
      </c>
      <c r="G1" s="258" t="s">
        <v>7</v>
      </c>
      <c r="H1" s="258" t="s">
        <v>170</v>
      </c>
      <c r="I1" s="258" t="s">
        <v>169</v>
      </c>
      <c r="J1" s="259" t="s">
        <v>220</v>
      </c>
      <c r="K1" s="260" t="s">
        <v>166</v>
      </c>
    </row>
    <row r="2" spans="2:11" s="207" customFormat="1" ht="36.75" customHeight="1" x14ac:dyDescent="0.2">
      <c r="B2" s="341"/>
      <c r="C2" s="253"/>
      <c r="D2" s="254"/>
      <c r="E2" s="255">
        <f t="shared" ref="E2:J2" si="0">E3+E109+E127+E413+E457+E578</f>
        <v>973593065.91321981</v>
      </c>
      <c r="F2" s="255">
        <f t="shared" si="0"/>
        <v>241428242</v>
      </c>
      <c r="G2" s="255">
        <f t="shared" si="0"/>
        <v>30281983</v>
      </c>
      <c r="H2" s="255">
        <f t="shared" si="0"/>
        <v>29281983</v>
      </c>
      <c r="I2" s="255">
        <f t="shared" si="0"/>
        <v>1215071307.8999999</v>
      </c>
      <c r="J2" s="255">
        <f t="shared" si="0"/>
        <v>799508662</v>
      </c>
      <c r="K2" s="255">
        <f>I2-J2</f>
        <v>415562645.89999986</v>
      </c>
    </row>
    <row r="3" spans="2:11" ht="36.75" customHeight="1" x14ac:dyDescent="0.2">
      <c r="B3" s="342" t="s">
        <v>167</v>
      </c>
      <c r="C3" s="246" t="s">
        <v>20</v>
      </c>
      <c r="D3" s="252" t="s">
        <v>21</v>
      </c>
      <c r="E3" s="249">
        <f>SUM(E4:E101)</f>
        <v>657894826.91321981</v>
      </c>
      <c r="F3" s="250">
        <f>F4+F19+F36+F21+F50+F63+F71+F86+F101</f>
        <v>31428242</v>
      </c>
      <c r="G3" s="250">
        <f>G4+G19+G36+G21+G50+G63+G71+G86+G101</f>
        <v>0</v>
      </c>
      <c r="H3" s="250">
        <f>H4+H19+H36+H21+H50+H63+H71+H86+H101</f>
        <v>29281983</v>
      </c>
      <c r="I3" s="249">
        <f>SUM(I4:I101)</f>
        <v>660041085.89999986</v>
      </c>
      <c r="J3" s="249">
        <f>SUM(J4:J101)</f>
        <v>577701548</v>
      </c>
      <c r="K3" s="251">
        <f>+K4+K19+K21+K36+K50+K63+K71+K86+K101+K110+K125+K126</f>
        <v>396858211.89999992</v>
      </c>
    </row>
    <row r="4" spans="2:11" ht="15.75" x14ac:dyDescent="0.25">
      <c r="B4" s="343"/>
      <c r="C4" s="236" t="s">
        <v>22</v>
      </c>
      <c r="D4" s="237" t="s">
        <v>23</v>
      </c>
      <c r="E4" s="238">
        <f>ROUND(510496564.207404,1)</f>
        <v>510496564.19999999</v>
      </c>
      <c r="F4" s="239">
        <f>SUM(F5:F17)</f>
        <v>27610765</v>
      </c>
      <c r="G4" s="239">
        <f>SUM(G5:G17)</f>
        <v>0</v>
      </c>
      <c r="H4" s="239">
        <f>SUM(H5:H17)</f>
        <v>29281983</v>
      </c>
      <c r="I4" s="240">
        <f>ROUND((E4+F4+G4-H4),1)</f>
        <v>508825346.19999999</v>
      </c>
      <c r="J4" s="241">
        <f>SUM(J5:J16)</f>
        <v>242264064</v>
      </c>
      <c r="K4" s="242">
        <f>I4-J4</f>
        <v>266561282.19999999</v>
      </c>
    </row>
    <row r="5" spans="2:11" x14ac:dyDescent="0.2">
      <c r="B5" s="344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231"/>
    </row>
    <row r="6" spans="2:11" x14ac:dyDescent="0.2">
      <c r="B6" s="344">
        <v>43124</v>
      </c>
      <c r="C6" s="291"/>
      <c r="D6" s="214" t="s">
        <v>184</v>
      </c>
      <c r="E6" s="214"/>
      <c r="F6" s="216">
        <v>27610765</v>
      </c>
      <c r="G6" s="99"/>
      <c r="H6" s="128"/>
      <c r="I6" s="214"/>
      <c r="J6" s="214"/>
      <c r="K6" s="231"/>
    </row>
    <row r="7" spans="2:11" x14ac:dyDescent="0.2">
      <c r="B7" s="344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231"/>
    </row>
    <row r="8" spans="2:11" x14ac:dyDescent="0.2">
      <c r="B8" s="344">
        <v>43157</v>
      </c>
      <c r="C8" s="148"/>
      <c r="D8" s="230" t="s">
        <v>199</v>
      </c>
      <c r="E8" s="215"/>
      <c r="F8" s="216"/>
      <c r="G8" s="99"/>
      <c r="H8" s="128"/>
      <c r="I8" s="129"/>
      <c r="J8" s="111">
        <v>39390167</v>
      </c>
      <c r="K8" s="231"/>
    </row>
    <row r="9" spans="2:11" x14ac:dyDescent="0.2">
      <c r="B9" s="344">
        <v>43171</v>
      </c>
      <c r="C9" s="148"/>
      <c r="D9" s="230" t="s">
        <v>212</v>
      </c>
      <c r="E9" s="215"/>
      <c r="F9" s="216"/>
      <c r="G9" s="99"/>
      <c r="H9" s="128">
        <v>631976</v>
      </c>
      <c r="I9" s="129"/>
      <c r="J9" s="111"/>
      <c r="K9" s="231"/>
    </row>
    <row r="10" spans="2:11" x14ac:dyDescent="0.2">
      <c r="B10" s="344">
        <v>43181</v>
      </c>
      <c r="C10" s="148"/>
      <c r="D10" s="230" t="s">
        <v>209</v>
      </c>
      <c r="E10" s="215"/>
      <c r="F10" s="216"/>
      <c r="G10" s="99"/>
      <c r="H10" s="128"/>
      <c r="I10" s="129"/>
      <c r="J10" s="111">
        <v>46905281</v>
      </c>
      <c r="K10" s="231"/>
    </row>
    <row r="11" spans="2:11" x14ac:dyDescent="0.2">
      <c r="B11" s="344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231"/>
    </row>
    <row r="12" spans="2:11" x14ac:dyDescent="0.2">
      <c r="B12" s="344">
        <v>43245</v>
      </c>
      <c r="C12" s="148"/>
      <c r="D12" s="230" t="s">
        <v>129</v>
      </c>
      <c r="E12" s="215"/>
      <c r="F12" s="216"/>
      <c r="G12" s="99"/>
      <c r="H12" s="128"/>
      <c r="I12" s="129"/>
      <c r="J12" s="111">
        <v>41895205</v>
      </c>
      <c r="K12" s="231"/>
    </row>
    <row r="13" spans="2:11" x14ac:dyDescent="0.2">
      <c r="B13" s="344">
        <v>43277</v>
      </c>
      <c r="C13" s="148"/>
      <c r="D13" s="230" t="s">
        <v>130</v>
      </c>
      <c r="E13" s="215"/>
      <c r="F13" s="216"/>
      <c r="G13" s="99"/>
      <c r="H13" s="128"/>
      <c r="I13" s="129"/>
      <c r="J13" s="111">
        <v>38738117</v>
      </c>
      <c r="K13" s="231"/>
    </row>
    <row r="14" spans="2:11" x14ac:dyDescent="0.2">
      <c r="B14" s="344"/>
      <c r="C14" s="148"/>
      <c r="D14" s="230"/>
      <c r="E14" s="215"/>
      <c r="F14" s="216"/>
      <c r="G14" s="99"/>
      <c r="H14" s="128"/>
      <c r="I14" s="129"/>
      <c r="J14" s="111"/>
      <c r="K14" s="231"/>
    </row>
    <row r="15" spans="2:11" x14ac:dyDescent="0.2">
      <c r="B15" s="344"/>
      <c r="C15" s="148"/>
      <c r="D15" s="230"/>
      <c r="E15" s="215"/>
      <c r="F15" s="216"/>
      <c r="G15" s="99"/>
      <c r="H15" s="128"/>
      <c r="I15" s="129"/>
      <c r="J15" s="111"/>
      <c r="K15" s="231"/>
    </row>
    <row r="16" spans="2:11" x14ac:dyDescent="0.2">
      <c r="B16" s="344"/>
      <c r="C16" s="148"/>
      <c r="D16" s="230"/>
      <c r="E16" s="215"/>
      <c r="F16" s="216"/>
      <c r="G16" s="99"/>
      <c r="H16" s="128"/>
      <c r="I16" s="129"/>
      <c r="J16" s="111"/>
      <c r="K16" s="231"/>
    </row>
    <row r="17" spans="2:11" x14ac:dyDescent="0.2">
      <c r="B17" s="345"/>
      <c r="C17" s="148"/>
      <c r="D17" s="146"/>
      <c r="E17" s="215"/>
      <c r="F17" s="216"/>
      <c r="G17" s="99"/>
      <c r="H17" s="128"/>
      <c r="I17" s="129"/>
      <c r="J17" s="111"/>
      <c r="K17" s="231"/>
    </row>
    <row r="18" spans="2:11" x14ac:dyDescent="0.2">
      <c r="B18" s="345"/>
      <c r="C18" s="148"/>
      <c r="D18" s="146"/>
      <c r="E18" s="215"/>
      <c r="F18" s="216"/>
      <c r="G18" s="99"/>
      <c r="H18" s="128"/>
      <c r="I18" s="129"/>
      <c r="J18" s="111"/>
      <c r="K18" s="231"/>
    </row>
    <row r="19" spans="2:11" x14ac:dyDescent="0.2">
      <c r="B19" s="346"/>
      <c r="C19" s="217" t="s">
        <v>24</v>
      </c>
      <c r="D19" s="212" t="s">
        <v>25</v>
      </c>
      <c r="E19" s="218">
        <v>0</v>
      </c>
      <c r="F19" s="219"/>
      <c r="G19" s="213"/>
      <c r="H19" s="213"/>
      <c r="I19" s="213">
        <f>ROUND((E19+F19+G19-H19),1)</f>
        <v>0</v>
      </c>
      <c r="J19" s="220"/>
      <c r="K19" s="232"/>
    </row>
    <row r="20" spans="2:11" x14ac:dyDescent="0.2">
      <c r="B20" s="347"/>
      <c r="C20" s="221"/>
      <c r="D20" s="210"/>
      <c r="E20" s="222"/>
      <c r="F20" s="223"/>
      <c r="G20" s="211"/>
      <c r="H20" s="211"/>
      <c r="I20" s="211"/>
      <c r="J20" s="224"/>
      <c r="K20" s="233"/>
    </row>
    <row r="21" spans="2:11" s="243" customFormat="1" ht="15.75" x14ac:dyDescent="0.25">
      <c r="B21" s="343"/>
      <c r="C21" s="236" t="s">
        <v>26</v>
      </c>
      <c r="D21" s="237" t="s">
        <v>27</v>
      </c>
      <c r="E21" s="238">
        <v>1077494.3999999999</v>
      </c>
      <c r="F21" s="239">
        <f>SUM(F22:F35)</f>
        <v>0</v>
      </c>
      <c r="G21" s="239">
        <f>SUM(G22:G35)</f>
        <v>0</v>
      </c>
      <c r="H21" s="239">
        <f>SUM(H22:H35)</f>
        <v>0</v>
      </c>
      <c r="I21" s="240">
        <f>ROUND((E21+F21+G21-H21),1)</f>
        <v>1077494.3999999999</v>
      </c>
      <c r="J21" s="241">
        <f>SUM(J22:J33)</f>
        <v>499862</v>
      </c>
      <c r="K21" s="242">
        <f>I21-J21</f>
        <v>577632.39999999991</v>
      </c>
    </row>
    <row r="22" spans="2:11" x14ac:dyDescent="0.2">
      <c r="B22" s="344">
        <v>43310</v>
      </c>
      <c r="C22" s="148"/>
      <c r="D22" s="230" t="s">
        <v>125</v>
      </c>
      <c r="E22" s="215"/>
      <c r="F22" s="216"/>
      <c r="G22" s="99"/>
      <c r="H22" s="100"/>
      <c r="I22" s="129"/>
      <c r="J22" s="111">
        <v>83140</v>
      </c>
      <c r="K22" s="231"/>
    </row>
    <row r="23" spans="2:11" x14ac:dyDescent="0.2">
      <c r="B23" s="345"/>
      <c r="C23" s="148"/>
      <c r="D23" s="230" t="s">
        <v>200</v>
      </c>
      <c r="E23" s="215"/>
      <c r="F23" s="216"/>
      <c r="G23" s="99"/>
      <c r="H23" s="100"/>
      <c r="I23" s="129"/>
      <c r="J23" s="111">
        <v>-27713</v>
      </c>
      <c r="K23" s="231"/>
    </row>
    <row r="24" spans="2:11" x14ac:dyDescent="0.2">
      <c r="B24" s="345">
        <v>43157</v>
      </c>
      <c r="C24" s="148"/>
      <c r="D24" s="230" t="s">
        <v>126</v>
      </c>
      <c r="E24" s="215"/>
      <c r="F24" s="216"/>
      <c r="G24" s="99"/>
      <c r="H24" s="100"/>
      <c r="I24" s="129"/>
      <c r="J24" s="111">
        <v>83140</v>
      </c>
      <c r="K24" s="231"/>
    </row>
    <row r="25" spans="2:11" x14ac:dyDescent="0.2">
      <c r="B25" s="345">
        <v>43181</v>
      </c>
      <c r="C25" s="148"/>
      <c r="D25" s="230" t="s">
        <v>127</v>
      </c>
      <c r="E25" s="215"/>
      <c r="F25" s="216"/>
      <c r="G25" s="99"/>
      <c r="H25" s="100"/>
      <c r="I25" s="129"/>
      <c r="J25" s="111">
        <f>88211+8451</f>
        <v>96662</v>
      </c>
      <c r="K25" s="231"/>
    </row>
    <row r="26" spans="2:11" x14ac:dyDescent="0.2">
      <c r="B26" s="345">
        <v>43215</v>
      </c>
      <c r="C26" s="148"/>
      <c r="D26" s="230" t="s">
        <v>128</v>
      </c>
      <c r="E26" s="215"/>
      <c r="F26" s="216"/>
      <c r="G26" s="99"/>
      <c r="H26" s="100"/>
      <c r="I26" s="129"/>
      <c r="J26" s="111">
        <v>88211</v>
      </c>
      <c r="K26" s="231"/>
    </row>
    <row r="27" spans="2:11" x14ac:dyDescent="0.2">
      <c r="B27" s="344">
        <v>43245</v>
      </c>
      <c r="C27" s="148"/>
      <c r="D27" s="230" t="s">
        <v>129</v>
      </c>
      <c r="E27" s="215"/>
      <c r="F27" s="216"/>
      <c r="G27" s="99"/>
      <c r="H27" s="100"/>
      <c r="I27" s="129"/>
      <c r="J27" s="111">
        <v>88211</v>
      </c>
      <c r="K27" s="231"/>
    </row>
    <row r="28" spans="2:11" x14ac:dyDescent="0.2">
      <c r="B28" s="344">
        <v>43277</v>
      </c>
      <c r="C28" s="148"/>
      <c r="D28" s="230" t="s">
        <v>130</v>
      </c>
      <c r="E28" s="215"/>
      <c r="F28" s="216"/>
      <c r="G28" s="99"/>
      <c r="H28" s="100"/>
      <c r="I28" s="129"/>
      <c r="J28" s="111">
        <v>88211</v>
      </c>
      <c r="K28" s="231"/>
    </row>
    <row r="29" spans="2:11" x14ac:dyDescent="0.2">
      <c r="B29" s="345"/>
      <c r="C29" s="148"/>
      <c r="D29" s="230"/>
      <c r="E29" s="215"/>
      <c r="F29" s="216"/>
      <c r="G29" s="99"/>
      <c r="H29" s="100"/>
      <c r="I29" s="129"/>
      <c r="J29" s="111"/>
      <c r="K29" s="231"/>
    </row>
    <row r="30" spans="2:11" x14ac:dyDescent="0.2">
      <c r="B30" s="345"/>
      <c r="C30" s="148"/>
      <c r="D30" s="230"/>
      <c r="E30" s="215"/>
      <c r="F30" s="216"/>
      <c r="G30" s="99"/>
      <c r="H30" s="100"/>
      <c r="I30" s="129"/>
      <c r="J30" s="111"/>
      <c r="K30" s="231"/>
    </row>
    <row r="31" spans="2:11" x14ac:dyDescent="0.2">
      <c r="B31" s="345"/>
      <c r="C31" s="148"/>
      <c r="D31" s="230"/>
      <c r="E31" s="215"/>
      <c r="F31" s="216"/>
      <c r="G31" s="99"/>
      <c r="H31" s="100"/>
      <c r="I31" s="129"/>
      <c r="J31" s="111"/>
      <c r="K31" s="231"/>
    </row>
    <row r="32" spans="2:11" x14ac:dyDescent="0.2">
      <c r="B32" s="345"/>
      <c r="C32" s="148"/>
      <c r="D32" s="230"/>
      <c r="E32" s="215"/>
      <c r="F32" s="216"/>
      <c r="G32" s="99"/>
      <c r="H32" s="100"/>
      <c r="I32" s="129"/>
      <c r="J32" s="111"/>
      <c r="K32" s="231"/>
    </row>
    <row r="33" spans="2:11" x14ac:dyDescent="0.2">
      <c r="B33" s="345"/>
      <c r="C33" s="148"/>
      <c r="D33" s="230"/>
      <c r="E33" s="215"/>
      <c r="F33" s="216"/>
      <c r="G33" s="99"/>
      <c r="H33" s="100"/>
      <c r="I33" s="129"/>
      <c r="J33" s="111"/>
      <c r="K33" s="231"/>
    </row>
    <row r="34" spans="2:11" x14ac:dyDescent="0.2">
      <c r="B34" s="345"/>
      <c r="C34" s="148"/>
      <c r="D34" s="146"/>
      <c r="E34" s="215"/>
      <c r="F34" s="216"/>
      <c r="G34" s="99"/>
      <c r="H34" s="100"/>
      <c r="I34" s="129"/>
      <c r="J34" s="111"/>
      <c r="K34" s="231"/>
    </row>
    <row r="35" spans="2:11" x14ac:dyDescent="0.2">
      <c r="B35" s="345"/>
      <c r="C35" s="148"/>
      <c r="D35" s="146"/>
      <c r="E35" s="215"/>
      <c r="F35" s="216"/>
      <c r="G35" s="99"/>
      <c r="H35" s="100"/>
      <c r="I35" s="129"/>
      <c r="J35" s="111"/>
      <c r="K35" s="231"/>
    </row>
    <row r="36" spans="2:11" s="243" customFormat="1" ht="15.75" x14ac:dyDescent="0.25">
      <c r="B36" s="343"/>
      <c r="C36" s="236" t="s">
        <v>28</v>
      </c>
      <c r="D36" s="237" t="s">
        <v>29</v>
      </c>
      <c r="E36" s="238">
        <v>1484049.6</v>
      </c>
      <c r="F36" s="239">
        <f>SUM(F37:F49)</f>
        <v>0</v>
      </c>
      <c r="G36" s="239">
        <f>SUM(G37:G49)</f>
        <v>0</v>
      </c>
      <c r="H36" s="239">
        <f>SUM(H37:H49)</f>
        <v>0</v>
      </c>
      <c r="I36" s="240">
        <f>ROUND((E36+F36+G36-H36),1)</f>
        <v>1484049.6</v>
      </c>
      <c r="J36" s="241">
        <f>SUM(J37:J48)</f>
        <v>549552</v>
      </c>
      <c r="K36" s="242">
        <f>I36-J36</f>
        <v>934497.60000000009</v>
      </c>
    </row>
    <row r="37" spans="2:11" x14ac:dyDescent="0.2">
      <c r="B37" s="344">
        <v>43310</v>
      </c>
      <c r="C37" s="148"/>
      <c r="D37" s="230" t="s">
        <v>125</v>
      </c>
      <c r="E37" s="215"/>
      <c r="F37" s="216"/>
      <c r="G37" s="99"/>
      <c r="H37" s="100"/>
      <c r="I37" s="129"/>
      <c r="J37" s="111">
        <v>114510</v>
      </c>
      <c r="K37" s="231"/>
    </row>
    <row r="38" spans="2:11" x14ac:dyDescent="0.2">
      <c r="B38" s="345"/>
      <c r="C38" s="148"/>
      <c r="D38" s="230" t="s">
        <v>201</v>
      </c>
      <c r="E38" s="215"/>
      <c r="F38" s="216"/>
      <c r="G38" s="99"/>
      <c r="H38" s="100"/>
      <c r="I38" s="129"/>
      <c r="J38" s="111">
        <f>-17142-29176</f>
        <v>-46318</v>
      </c>
      <c r="K38" s="231"/>
    </row>
    <row r="39" spans="2:11" x14ac:dyDescent="0.2">
      <c r="B39" s="345">
        <v>43157</v>
      </c>
      <c r="C39" s="148"/>
      <c r="D39" s="230" t="s">
        <v>126</v>
      </c>
      <c r="E39" s="215"/>
      <c r="F39" s="216"/>
      <c r="G39" s="99"/>
      <c r="H39" s="100"/>
      <c r="I39" s="129"/>
      <c r="J39" s="111">
        <v>120340</v>
      </c>
      <c r="K39" s="231"/>
    </row>
    <row r="40" spans="2:11" x14ac:dyDescent="0.2">
      <c r="B40" s="345">
        <v>43181</v>
      </c>
      <c r="C40" s="148"/>
      <c r="D40" s="230" t="s">
        <v>127</v>
      </c>
      <c r="E40" s="215"/>
      <c r="F40" s="216"/>
      <c r="G40" s="99"/>
      <c r="H40" s="100"/>
      <c r="I40" s="129"/>
      <c r="J40" s="111">
        <v>120340</v>
      </c>
      <c r="K40" s="231"/>
    </row>
    <row r="41" spans="2:11" x14ac:dyDescent="0.2">
      <c r="B41" s="345">
        <v>43215</v>
      </c>
      <c r="C41" s="148"/>
      <c r="D41" s="230" t="s">
        <v>128</v>
      </c>
      <c r="E41" s="215"/>
      <c r="F41" s="216"/>
      <c r="G41" s="99"/>
      <c r="H41" s="100"/>
      <c r="I41" s="129"/>
      <c r="J41" s="111">
        <v>120340</v>
      </c>
      <c r="K41" s="231"/>
    </row>
    <row r="42" spans="2:11" x14ac:dyDescent="0.2">
      <c r="B42" s="344">
        <v>43245</v>
      </c>
      <c r="C42" s="148"/>
      <c r="D42" s="230" t="s">
        <v>129</v>
      </c>
      <c r="E42" s="215"/>
      <c r="F42" s="216"/>
      <c r="G42" s="99"/>
      <c r="H42" s="100"/>
      <c r="I42" s="129"/>
      <c r="J42" s="111">
        <v>60170</v>
      </c>
      <c r="K42" s="231"/>
    </row>
    <row r="43" spans="2:11" x14ac:dyDescent="0.2">
      <c r="B43" s="344">
        <v>43277</v>
      </c>
      <c r="C43" s="148"/>
      <c r="D43" s="230" t="s">
        <v>130</v>
      </c>
      <c r="E43" s="215"/>
      <c r="F43" s="216"/>
      <c r="G43" s="99"/>
      <c r="H43" s="100"/>
      <c r="I43" s="129"/>
      <c r="J43" s="111">
        <v>60170</v>
      </c>
      <c r="K43" s="231"/>
    </row>
    <row r="44" spans="2:11" x14ac:dyDescent="0.2">
      <c r="B44" s="345"/>
      <c r="C44" s="148"/>
      <c r="D44" s="230"/>
      <c r="E44" s="215"/>
      <c r="F44" s="216"/>
      <c r="G44" s="99"/>
      <c r="H44" s="100"/>
      <c r="I44" s="129"/>
      <c r="J44" s="111"/>
      <c r="K44" s="231"/>
    </row>
    <row r="45" spans="2:11" x14ac:dyDescent="0.2">
      <c r="B45" s="345"/>
      <c r="C45" s="148"/>
      <c r="D45" s="230"/>
      <c r="E45" s="215"/>
      <c r="F45" s="216"/>
      <c r="G45" s="99"/>
      <c r="H45" s="100"/>
      <c r="I45" s="129"/>
      <c r="J45" s="111"/>
      <c r="K45" s="231"/>
    </row>
    <row r="46" spans="2:11" x14ac:dyDescent="0.2">
      <c r="B46" s="345"/>
      <c r="C46" s="148"/>
      <c r="D46" s="230"/>
      <c r="E46" s="215"/>
      <c r="F46" s="216"/>
      <c r="G46" s="99"/>
      <c r="H46" s="100"/>
      <c r="I46" s="129"/>
      <c r="J46" s="111"/>
      <c r="K46" s="231"/>
    </row>
    <row r="47" spans="2:11" x14ac:dyDescent="0.2">
      <c r="B47" s="345"/>
      <c r="C47" s="148"/>
      <c r="D47" s="230"/>
      <c r="E47" s="215"/>
      <c r="F47" s="216"/>
      <c r="G47" s="99"/>
      <c r="H47" s="100"/>
      <c r="I47" s="129"/>
      <c r="J47" s="111"/>
      <c r="K47" s="231"/>
    </row>
    <row r="48" spans="2:11" x14ac:dyDescent="0.2">
      <c r="B48" s="345"/>
      <c r="C48" s="148"/>
      <c r="D48" s="230"/>
      <c r="E48" s="215"/>
      <c r="F48" s="216"/>
      <c r="G48" s="99"/>
      <c r="H48" s="100"/>
      <c r="I48" s="129"/>
      <c r="J48" s="111"/>
      <c r="K48" s="231"/>
    </row>
    <row r="49" spans="2:12" x14ac:dyDescent="0.2">
      <c r="B49" s="345"/>
      <c r="C49" s="148"/>
      <c r="D49" s="146"/>
      <c r="E49" s="215"/>
      <c r="F49" s="216"/>
      <c r="G49" s="99"/>
      <c r="H49" s="100"/>
      <c r="I49" s="129"/>
      <c r="J49" s="111"/>
      <c r="K49" s="231"/>
    </row>
    <row r="50" spans="2:12" s="243" customFormat="1" ht="15.75" x14ac:dyDescent="0.25">
      <c r="B50" s="343"/>
      <c r="C50" s="236" t="s">
        <v>30</v>
      </c>
      <c r="D50" s="237" t="s">
        <v>31</v>
      </c>
      <c r="E50" s="238">
        <v>15036740.388045937</v>
      </c>
      <c r="F50" s="239">
        <f>SUM(F51:F62)</f>
        <v>0</v>
      </c>
      <c r="G50" s="239">
        <f>SUM(G51:G62)</f>
        <v>0</v>
      </c>
      <c r="H50" s="239">
        <f>SUM(H51:H62)</f>
        <v>0</v>
      </c>
      <c r="I50" s="240">
        <f>ROUND((E50+F50+G50-H50),1)</f>
        <v>15036740.4</v>
      </c>
      <c r="J50" s="241">
        <f>SUM(J51:J62)</f>
        <v>6724464</v>
      </c>
      <c r="K50" s="242">
        <f>I50-J50</f>
        <v>8312276.4000000004</v>
      </c>
    </row>
    <row r="51" spans="2:12" x14ac:dyDescent="0.2">
      <c r="B51" s="345">
        <v>43157</v>
      </c>
      <c r="C51" s="148"/>
      <c r="D51" s="146" t="s">
        <v>202</v>
      </c>
      <c r="E51" s="215"/>
      <c r="F51" s="216"/>
      <c r="G51" s="99"/>
      <c r="H51" s="100"/>
      <c r="I51" s="129"/>
      <c r="J51" s="111">
        <v>1001468</v>
      </c>
      <c r="K51" s="231"/>
    </row>
    <row r="52" spans="2:12" x14ac:dyDescent="0.2">
      <c r="B52" s="345">
        <v>43157</v>
      </c>
      <c r="C52" s="148"/>
      <c r="D52" s="146" t="s">
        <v>197</v>
      </c>
      <c r="E52" s="215"/>
      <c r="F52" s="216"/>
      <c r="G52" s="99"/>
      <c r="H52" s="100"/>
      <c r="I52" s="129"/>
      <c r="J52" s="111">
        <v>906747</v>
      </c>
      <c r="K52" s="231"/>
    </row>
    <row r="53" spans="2:12" x14ac:dyDescent="0.2">
      <c r="B53" s="345">
        <v>43157</v>
      </c>
      <c r="C53" s="148"/>
      <c r="D53" s="146" t="s">
        <v>187</v>
      </c>
      <c r="E53" s="215"/>
      <c r="F53" s="216"/>
      <c r="G53" s="99"/>
      <c r="H53" s="100"/>
      <c r="I53" s="129"/>
      <c r="J53" s="111">
        <v>797258</v>
      </c>
      <c r="K53" s="231"/>
    </row>
    <row r="54" spans="2:12" x14ac:dyDescent="0.2">
      <c r="B54" s="345">
        <v>43215</v>
      </c>
      <c r="C54" s="148"/>
      <c r="D54" s="146" t="s">
        <v>226</v>
      </c>
      <c r="E54" s="215"/>
      <c r="F54" s="216"/>
      <c r="G54" s="99"/>
      <c r="H54" s="100"/>
      <c r="I54" s="129"/>
      <c r="J54" s="111">
        <v>842272</v>
      </c>
      <c r="K54" s="231"/>
    </row>
    <row r="55" spans="2:12" x14ac:dyDescent="0.2">
      <c r="B55" s="345">
        <v>43245</v>
      </c>
      <c r="C55" s="148"/>
      <c r="D55" s="146" t="s">
        <v>196</v>
      </c>
      <c r="E55" s="215"/>
      <c r="F55" s="216"/>
      <c r="G55" s="99"/>
      <c r="H55" s="100"/>
      <c r="I55" s="129"/>
      <c r="J55" s="111">
        <v>1069467</v>
      </c>
      <c r="K55" s="231"/>
    </row>
    <row r="56" spans="2:12" x14ac:dyDescent="0.2">
      <c r="B56" s="345">
        <v>43270</v>
      </c>
      <c r="C56" s="148"/>
      <c r="D56" s="146" t="s">
        <v>160</v>
      </c>
      <c r="E56" s="215"/>
      <c r="F56" s="216"/>
      <c r="G56" s="99"/>
      <c r="H56" s="100"/>
      <c r="I56" s="129"/>
      <c r="J56" s="111">
        <v>1621894</v>
      </c>
      <c r="K56" s="231"/>
    </row>
    <row r="57" spans="2:12" x14ac:dyDescent="0.2">
      <c r="B57" s="344">
        <v>43277</v>
      </c>
      <c r="C57" s="148"/>
      <c r="D57" s="230" t="s">
        <v>241</v>
      </c>
      <c r="E57" s="215"/>
      <c r="F57" s="216"/>
      <c r="G57" s="99"/>
      <c r="H57" s="100"/>
      <c r="I57" s="129"/>
      <c r="J57" s="111">
        <v>485358</v>
      </c>
      <c r="K57" s="231"/>
    </row>
    <row r="58" spans="2:12" x14ac:dyDescent="0.2">
      <c r="B58" s="345">
        <v>43285</v>
      </c>
      <c r="C58" s="148"/>
      <c r="D58" s="146" t="s">
        <v>243</v>
      </c>
      <c r="E58" s="215"/>
      <c r="F58" s="216"/>
      <c r="G58" s="99"/>
      <c r="H58" s="100"/>
      <c r="I58" s="129"/>
      <c r="K58" s="231"/>
      <c r="L58" s="111">
        <v>1106492</v>
      </c>
    </row>
    <row r="59" spans="2:12" x14ac:dyDescent="0.2">
      <c r="B59" s="345"/>
      <c r="C59" s="148"/>
      <c r="D59" s="146"/>
      <c r="E59" s="215"/>
      <c r="F59" s="216"/>
      <c r="G59" s="99"/>
      <c r="H59" s="100"/>
      <c r="I59" s="129"/>
      <c r="J59" s="111"/>
      <c r="K59" s="231"/>
    </row>
    <row r="60" spans="2:12" x14ac:dyDescent="0.2">
      <c r="B60" s="345"/>
      <c r="C60" s="148"/>
      <c r="D60" s="146"/>
      <c r="E60" s="215"/>
      <c r="F60" s="216"/>
      <c r="G60" s="99"/>
      <c r="H60" s="100"/>
      <c r="I60" s="129"/>
      <c r="J60" s="111"/>
      <c r="K60" s="231"/>
    </row>
    <row r="61" spans="2:12" x14ac:dyDescent="0.2">
      <c r="B61" s="345"/>
      <c r="C61" s="148"/>
      <c r="D61" s="146"/>
      <c r="E61" s="215"/>
      <c r="F61" s="216"/>
      <c r="G61" s="99"/>
      <c r="H61" s="100"/>
      <c r="I61" s="129"/>
      <c r="J61" s="111"/>
      <c r="K61" s="231"/>
    </row>
    <row r="62" spans="2:12" x14ac:dyDescent="0.2">
      <c r="B62" s="345"/>
      <c r="C62" s="148"/>
      <c r="D62" s="146"/>
      <c r="E62" s="215"/>
      <c r="F62" s="216"/>
      <c r="G62" s="99"/>
      <c r="H62" s="100"/>
      <c r="I62" s="129"/>
      <c r="J62" s="111"/>
      <c r="K62" s="231"/>
    </row>
    <row r="63" spans="2:12" s="243" customFormat="1" ht="15.75" x14ac:dyDescent="0.25">
      <c r="B63" s="343"/>
      <c r="C63" s="236" t="s">
        <v>32</v>
      </c>
      <c r="D63" s="237" t="s">
        <v>33</v>
      </c>
      <c r="E63" s="238">
        <v>22003952.024810392</v>
      </c>
      <c r="F63" s="239">
        <f>SUM(F64:F70)</f>
        <v>0</v>
      </c>
      <c r="G63" s="239">
        <f>SUM(G64:G70)</f>
        <v>0</v>
      </c>
      <c r="H63" s="239">
        <f>SUM(H64:H70)</f>
        <v>0</v>
      </c>
      <c r="I63" s="240">
        <f>ROUND((E63+F63+G63-H63),1)</f>
        <v>22003952</v>
      </c>
      <c r="J63" s="241">
        <f>SUM(J64:J70)</f>
        <v>20378065</v>
      </c>
      <c r="K63" s="242">
        <f>I63-J63</f>
        <v>1625887</v>
      </c>
    </row>
    <row r="64" spans="2:12" x14ac:dyDescent="0.2">
      <c r="B64" s="345">
        <v>43285</v>
      </c>
      <c r="C64" s="148"/>
      <c r="D64" s="146" t="s">
        <v>242</v>
      </c>
      <c r="E64" s="215"/>
      <c r="F64" s="216"/>
      <c r="G64" s="101"/>
      <c r="H64" s="100"/>
      <c r="I64" s="129"/>
      <c r="J64" s="111">
        <v>20378065</v>
      </c>
      <c r="K64" s="231"/>
    </row>
    <row r="65" spans="2:11" x14ac:dyDescent="0.2">
      <c r="B65" s="345"/>
      <c r="C65" s="148"/>
      <c r="D65" s="146"/>
      <c r="E65" s="215"/>
      <c r="F65" s="216"/>
      <c r="G65" s="101"/>
      <c r="H65" s="100"/>
      <c r="I65" s="129"/>
      <c r="J65" s="111"/>
      <c r="K65" s="231"/>
    </row>
    <row r="66" spans="2:11" x14ac:dyDescent="0.2">
      <c r="B66" s="345"/>
      <c r="C66" s="148"/>
      <c r="D66" s="146"/>
      <c r="E66" s="215"/>
      <c r="F66" s="216"/>
      <c r="G66" s="101"/>
      <c r="H66" s="100"/>
      <c r="I66" s="129"/>
      <c r="J66" s="111"/>
      <c r="K66" s="231"/>
    </row>
    <row r="67" spans="2:11" x14ac:dyDescent="0.2">
      <c r="B67" s="345"/>
      <c r="C67" s="148"/>
      <c r="D67" s="146"/>
      <c r="E67" s="215"/>
      <c r="F67" s="216"/>
      <c r="G67" s="101"/>
      <c r="H67" s="100"/>
      <c r="I67" s="129"/>
      <c r="J67" s="111"/>
      <c r="K67" s="231"/>
    </row>
    <row r="68" spans="2:11" x14ac:dyDescent="0.2">
      <c r="B68" s="345"/>
      <c r="C68" s="148"/>
      <c r="D68" s="146"/>
      <c r="E68" s="215"/>
      <c r="F68" s="216"/>
      <c r="G68" s="101"/>
      <c r="H68" s="100"/>
      <c r="I68" s="129"/>
      <c r="J68" s="111"/>
      <c r="K68" s="231"/>
    </row>
    <row r="69" spans="2:11" x14ac:dyDescent="0.2">
      <c r="B69" s="345"/>
      <c r="C69" s="148"/>
      <c r="D69" s="146"/>
      <c r="E69" s="215"/>
      <c r="F69" s="216"/>
      <c r="G69" s="101"/>
      <c r="H69" s="100"/>
      <c r="I69" s="129"/>
      <c r="J69" s="111"/>
      <c r="K69" s="231"/>
    </row>
    <row r="70" spans="2:11" x14ac:dyDescent="0.2">
      <c r="B70" s="345"/>
      <c r="C70" s="148"/>
      <c r="D70" s="146"/>
      <c r="E70" s="215"/>
      <c r="F70" s="216"/>
      <c r="G70" s="101"/>
      <c r="H70" s="100"/>
      <c r="I70" s="129"/>
      <c r="J70" s="111"/>
      <c r="K70" s="231"/>
    </row>
    <row r="71" spans="2:11" s="243" customFormat="1" ht="15.75" x14ac:dyDescent="0.25">
      <c r="B71" s="343"/>
      <c r="C71" s="236" t="s">
        <v>34</v>
      </c>
      <c r="D71" s="237" t="s">
        <v>35</v>
      </c>
      <c r="E71" s="238">
        <v>22920783.359177493</v>
      </c>
      <c r="F71" s="239">
        <f>SUM(F72:F85)</f>
        <v>1000000</v>
      </c>
      <c r="G71" s="239">
        <f>SUM(G72:G85)</f>
        <v>0</v>
      </c>
      <c r="H71" s="239">
        <f>SUM(H72:H85)</f>
        <v>0</v>
      </c>
      <c r="I71" s="240">
        <f>ROUND((E71+F71+G71-H71),1)</f>
        <v>23920783.399999999</v>
      </c>
      <c r="J71" s="241">
        <f>SUM(J72:J85)</f>
        <v>7738515</v>
      </c>
      <c r="K71" s="242">
        <f>I71-J71</f>
        <v>16182268.399999999</v>
      </c>
    </row>
    <row r="72" spans="2:11" x14ac:dyDescent="0.2">
      <c r="B72" s="345">
        <v>43118</v>
      </c>
      <c r="C72" s="148"/>
      <c r="D72" s="146" t="s">
        <v>158</v>
      </c>
      <c r="E72" s="215"/>
      <c r="F72" s="216"/>
      <c r="G72" s="99"/>
      <c r="H72" s="133"/>
      <c r="I72" s="129"/>
      <c r="J72" s="111">
        <v>5543228</v>
      </c>
      <c r="K72" s="231"/>
    </row>
    <row r="73" spans="2:11" x14ac:dyDescent="0.2">
      <c r="B73" s="345">
        <v>43194</v>
      </c>
      <c r="C73" s="148">
        <v>45</v>
      </c>
      <c r="D73" s="146" t="s">
        <v>232</v>
      </c>
      <c r="E73" s="215"/>
      <c r="F73" s="216">
        <v>1000000</v>
      </c>
      <c r="G73" s="99"/>
      <c r="H73" s="133"/>
      <c r="I73" s="129"/>
      <c r="J73" s="111"/>
      <c r="K73" s="231"/>
    </row>
    <row r="74" spans="2:11" x14ac:dyDescent="0.2">
      <c r="B74" s="345">
        <v>43266</v>
      </c>
      <c r="C74" s="148"/>
      <c r="D74" s="146" t="s">
        <v>226</v>
      </c>
      <c r="E74" s="215"/>
      <c r="F74" s="216"/>
      <c r="G74" s="99"/>
      <c r="H74" s="133"/>
      <c r="I74" s="129"/>
      <c r="J74" s="111">
        <v>1283601</v>
      </c>
      <c r="K74" s="231"/>
    </row>
    <row r="75" spans="2:11" x14ac:dyDescent="0.2">
      <c r="B75" s="345">
        <v>43273</v>
      </c>
      <c r="C75" s="148"/>
      <c r="D75" s="146" t="s">
        <v>187</v>
      </c>
      <c r="E75" s="215"/>
      <c r="F75" s="216"/>
      <c r="G75" s="99"/>
      <c r="H75" s="133"/>
      <c r="I75" s="129"/>
      <c r="J75" s="111">
        <v>911686</v>
      </c>
      <c r="K75" s="231"/>
    </row>
    <row r="76" spans="2:11" x14ac:dyDescent="0.2">
      <c r="B76" s="345"/>
      <c r="C76" s="148"/>
      <c r="D76" s="146"/>
      <c r="E76" s="215"/>
      <c r="F76" s="216"/>
      <c r="G76" s="99"/>
      <c r="H76" s="133"/>
      <c r="I76" s="129"/>
      <c r="J76" s="111"/>
      <c r="K76" s="231"/>
    </row>
    <row r="77" spans="2:11" x14ac:dyDescent="0.2">
      <c r="B77" s="345"/>
      <c r="C77" s="148"/>
      <c r="D77" s="146"/>
      <c r="E77" s="215"/>
      <c r="F77" s="216"/>
      <c r="G77" s="99"/>
      <c r="H77" s="133"/>
      <c r="I77" s="129"/>
      <c r="J77" s="111"/>
      <c r="K77" s="231"/>
    </row>
    <row r="78" spans="2:11" x14ac:dyDescent="0.2">
      <c r="B78" s="345"/>
      <c r="C78" s="148"/>
      <c r="D78" s="146"/>
      <c r="E78" s="215"/>
      <c r="F78" s="216"/>
      <c r="G78" s="99"/>
      <c r="H78" s="133"/>
      <c r="I78" s="129"/>
      <c r="J78" s="111"/>
      <c r="K78" s="231"/>
    </row>
    <row r="79" spans="2:11" x14ac:dyDescent="0.2">
      <c r="B79" s="345"/>
      <c r="C79" s="148"/>
      <c r="D79" s="146"/>
      <c r="E79" s="215"/>
      <c r="F79" s="216"/>
      <c r="G79" s="99"/>
      <c r="H79" s="133"/>
      <c r="I79" s="129"/>
      <c r="J79" s="111"/>
      <c r="K79" s="231"/>
    </row>
    <row r="80" spans="2:11" x14ac:dyDescent="0.2">
      <c r="B80" s="345"/>
      <c r="C80" s="148"/>
      <c r="D80" s="146"/>
      <c r="E80" s="215"/>
      <c r="F80" s="216"/>
      <c r="G80" s="99"/>
      <c r="H80" s="133"/>
      <c r="I80" s="129"/>
      <c r="J80" s="111"/>
      <c r="K80" s="231"/>
    </row>
    <row r="81" spans="2:11" x14ac:dyDescent="0.2">
      <c r="B81" s="345"/>
      <c r="C81" s="148"/>
      <c r="D81" s="146"/>
      <c r="E81" s="215"/>
      <c r="F81" s="216"/>
      <c r="G81" s="99"/>
      <c r="H81" s="133"/>
      <c r="I81" s="129"/>
      <c r="J81" s="111"/>
      <c r="K81" s="231"/>
    </row>
    <row r="82" spans="2:11" x14ac:dyDescent="0.2">
      <c r="B82" s="345"/>
      <c r="C82" s="148"/>
      <c r="D82" s="146"/>
      <c r="E82" s="215"/>
      <c r="F82" s="216"/>
      <c r="G82" s="99"/>
      <c r="H82" s="133"/>
      <c r="I82" s="129"/>
      <c r="J82" s="111"/>
      <c r="K82" s="231"/>
    </row>
    <row r="83" spans="2:11" x14ac:dyDescent="0.2">
      <c r="B83" s="345"/>
      <c r="C83" s="148"/>
      <c r="D83" s="146"/>
      <c r="E83" s="215"/>
      <c r="F83" s="216"/>
      <c r="G83" s="99"/>
      <c r="H83" s="133"/>
      <c r="I83" s="129"/>
      <c r="J83" s="111"/>
      <c r="K83" s="231"/>
    </row>
    <row r="84" spans="2:11" x14ac:dyDescent="0.2">
      <c r="B84" s="345"/>
      <c r="C84" s="148"/>
      <c r="D84" s="146"/>
      <c r="E84" s="215"/>
      <c r="F84" s="216"/>
      <c r="G84" s="99"/>
      <c r="H84" s="133"/>
      <c r="I84" s="129"/>
      <c r="J84" s="111"/>
      <c r="K84" s="231"/>
    </row>
    <row r="85" spans="2:11" x14ac:dyDescent="0.2">
      <c r="B85" s="345"/>
      <c r="C85" s="148"/>
      <c r="D85" s="146"/>
      <c r="E85" s="215"/>
      <c r="F85" s="216"/>
      <c r="G85" s="99"/>
      <c r="H85" s="133"/>
      <c r="I85" s="129"/>
      <c r="J85" s="111"/>
      <c r="K85" s="231"/>
    </row>
    <row r="86" spans="2:11" ht="15.75" x14ac:dyDescent="0.25">
      <c r="B86" s="343"/>
      <c r="C86" s="236">
        <v>2020110109</v>
      </c>
      <c r="D86" s="237" t="s">
        <v>36</v>
      </c>
      <c r="E86" s="238">
        <v>37123610.942899451</v>
      </c>
      <c r="F86" s="239">
        <f>SUM(F87:F100)</f>
        <v>2817477</v>
      </c>
      <c r="G86" s="239">
        <f>SUM(G87:G100)</f>
        <v>0</v>
      </c>
      <c r="H86" s="239">
        <f>SUM(H87:H100)</f>
        <v>0</v>
      </c>
      <c r="I86" s="240">
        <f>ROUND((E86+F86+G86-H86),1)</f>
        <v>39941087.899999999</v>
      </c>
      <c r="J86" s="239">
        <f>SUM(J87:J100)</f>
        <v>10696252</v>
      </c>
      <c r="K86" s="242">
        <f>I86-J86</f>
        <v>29244835.899999999</v>
      </c>
    </row>
    <row r="87" spans="2:11" x14ac:dyDescent="0.2">
      <c r="B87" s="345">
        <v>43194</v>
      </c>
      <c r="C87" s="148">
        <v>45</v>
      </c>
      <c r="D87" s="146" t="s">
        <v>233</v>
      </c>
      <c r="E87" s="215"/>
      <c r="F87" s="216">
        <v>2817477</v>
      </c>
      <c r="G87" s="99"/>
      <c r="H87" s="133"/>
      <c r="I87" s="129"/>
      <c r="J87" s="111"/>
      <c r="K87" s="231"/>
    </row>
    <row r="88" spans="2:11" x14ac:dyDescent="0.2">
      <c r="B88" s="345">
        <v>43273</v>
      </c>
      <c r="C88" s="148"/>
      <c r="D88" s="146" t="s">
        <v>158</v>
      </c>
      <c r="E88" s="215"/>
      <c r="F88" s="216"/>
      <c r="G88" s="99"/>
      <c r="H88" s="133"/>
      <c r="I88" s="129"/>
      <c r="J88" s="111">
        <v>9245593</v>
      </c>
      <c r="K88" s="231"/>
    </row>
    <row r="89" spans="2:11" x14ac:dyDescent="0.2">
      <c r="B89" s="345">
        <v>43273</v>
      </c>
      <c r="C89" s="148"/>
      <c r="D89" s="146" t="s">
        <v>187</v>
      </c>
      <c r="E89" s="215"/>
      <c r="F89" s="216"/>
      <c r="G89" s="99"/>
      <c r="H89" s="133"/>
      <c r="I89" s="129"/>
      <c r="J89" s="111">
        <v>1450659</v>
      </c>
      <c r="K89" s="231"/>
    </row>
    <row r="90" spans="2:11" x14ac:dyDescent="0.2">
      <c r="B90" s="345"/>
      <c r="C90" s="148"/>
      <c r="D90" s="146"/>
      <c r="E90" s="215"/>
      <c r="F90" s="216"/>
      <c r="G90" s="99"/>
      <c r="H90" s="133"/>
      <c r="I90" s="129"/>
      <c r="J90" s="111"/>
      <c r="K90" s="231"/>
    </row>
    <row r="91" spans="2:11" x14ac:dyDescent="0.2">
      <c r="B91" s="345"/>
      <c r="C91" s="148"/>
      <c r="D91" s="146"/>
      <c r="E91" s="215"/>
      <c r="F91" s="216"/>
      <c r="G91" s="99"/>
      <c r="H91" s="133"/>
      <c r="I91" s="129"/>
      <c r="J91" s="111"/>
      <c r="K91" s="231"/>
    </row>
    <row r="92" spans="2:11" x14ac:dyDescent="0.2">
      <c r="B92" s="345"/>
      <c r="C92" s="148"/>
      <c r="D92" s="146"/>
      <c r="E92" s="215"/>
      <c r="F92" s="216"/>
      <c r="G92" s="99"/>
      <c r="H92" s="133"/>
      <c r="I92" s="129"/>
      <c r="J92" s="111"/>
      <c r="K92" s="231"/>
    </row>
    <row r="93" spans="2:11" x14ac:dyDescent="0.2">
      <c r="B93" s="345"/>
      <c r="C93" s="148"/>
      <c r="D93" s="146"/>
      <c r="E93" s="215"/>
      <c r="F93" s="216"/>
      <c r="G93" s="99"/>
      <c r="H93" s="133"/>
      <c r="I93" s="129"/>
      <c r="J93" s="111"/>
      <c r="K93" s="231"/>
    </row>
    <row r="94" spans="2:11" x14ac:dyDescent="0.2">
      <c r="B94" s="345"/>
      <c r="C94" s="148"/>
      <c r="D94" s="146"/>
      <c r="E94" s="215"/>
      <c r="F94" s="216"/>
      <c r="G94" s="99"/>
      <c r="H94" s="133"/>
      <c r="I94" s="129"/>
      <c r="J94" s="111"/>
      <c r="K94" s="231"/>
    </row>
    <row r="95" spans="2:11" x14ac:dyDescent="0.2">
      <c r="B95" s="345"/>
      <c r="C95" s="148"/>
      <c r="D95" s="146"/>
      <c r="E95" s="215"/>
      <c r="F95" s="216"/>
      <c r="G95" s="99"/>
      <c r="H95" s="133"/>
      <c r="I95" s="129"/>
      <c r="J95" s="111"/>
      <c r="K95" s="231"/>
    </row>
    <row r="96" spans="2:11" x14ac:dyDescent="0.2">
      <c r="B96" s="345"/>
      <c r="C96" s="148"/>
      <c r="D96" s="146"/>
      <c r="E96" s="215"/>
      <c r="F96" s="216"/>
      <c r="G96" s="99"/>
      <c r="H96" s="133"/>
      <c r="I96" s="129"/>
      <c r="J96" s="111"/>
      <c r="K96" s="231"/>
    </row>
    <row r="97" spans="2:11" x14ac:dyDescent="0.2">
      <c r="B97" s="345"/>
      <c r="C97" s="148"/>
      <c r="D97" s="146"/>
      <c r="E97" s="215"/>
      <c r="F97" s="216"/>
      <c r="G97" s="99"/>
      <c r="H97" s="133"/>
      <c r="I97" s="129"/>
      <c r="J97" s="111"/>
      <c r="K97" s="231"/>
    </row>
    <row r="98" spans="2:11" x14ac:dyDescent="0.2">
      <c r="B98" s="345"/>
      <c r="C98" s="148"/>
      <c r="D98" s="146"/>
      <c r="E98" s="215"/>
      <c r="F98" s="216"/>
      <c r="G98" s="99"/>
      <c r="H98" s="133"/>
      <c r="I98" s="129"/>
      <c r="J98" s="111"/>
      <c r="K98" s="231"/>
    </row>
    <row r="99" spans="2:11" x14ac:dyDescent="0.2">
      <c r="B99" s="345"/>
      <c r="C99" s="148"/>
      <c r="D99" s="146"/>
      <c r="E99" s="215"/>
      <c r="F99" s="216"/>
      <c r="G99" s="99"/>
      <c r="H99" s="133"/>
      <c r="I99" s="129"/>
      <c r="J99" s="111"/>
      <c r="K99" s="231"/>
    </row>
    <row r="100" spans="2:11" x14ac:dyDescent="0.2">
      <c r="B100" s="345"/>
      <c r="C100" s="148"/>
      <c r="D100" s="146"/>
      <c r="E100" s="215"/>
      <c r="F100" s="216"/>
      <c r="G100" s="99"/>
      <c r="H100" s="133"/>
      <c r="I100" s="129"/>
      <c r="J100" s="111"/>
      <c r="K100" s="231"/>
    </row>
    <row r="101" spans="2:11" ht="15.75" x14ac:dyDescent="0.25">
      <c r="B101" s="343"/>
      <c r="C101" s="236">
        <v>2020110108</v>
      </c>
      <c r="D101" s="237" t="s">
        <v>37</v>
      </c>
      <c r="E101" s="238">
        <v>47751631.998286448</v>
      </c>
      <c r="F101" s="239">
        <f>SUM(F102:F108)</f>
        <v>0</v>
      </c>
      <c r="G101" s="239">
        <f>SUM(G102:G108)</f>
        <v>0</v>
      </c>
      <c r="H101" s="239">
        <f>SUM(H102:H108)</f>
        <v>0</v>
      </c>
      <c r="I101" s="240">
        <f>ROUND((E101+F101+G101-H101),1)</f>
        <v>47751632</v>
      </c>
      <c r="J101" s="239">
        <f>SUM(J102:J108)</f>
        <v>0</v>
      </c>
      <c r="K101" s="242">
        <f>I101-J101</f>
        <v>47751632</v>
      </c>
    </row>
    <row r="102" spans="2:11" x14ac:dyDescent="0.2">
      <c r="B102" s="345"/>
      <c r="C102" s="148"/>
      <c r="D102" s="146"/>
      <c r="E102" s="215"/>
      <c r="F102" s="216"/>
      <c r="G102" s="99"/>
      <c r="H102" s="100"/>
      <c r="I102" s="129"/>
      <c r="J102" s="111"/>
      <c r="K102" s="231"/>
    </row>
    <row r="103" spans="2:11" x14ac:dyDescent="0.2">
      <c r="B103" s="345"/>
      <c r="C103" s="148"/>
      <c r="D103" s="146"/>
      <c r="E103" s="215"/>
      <c r="F103" s="216"/>
      <c r="G103" s="99"/>
      <c r="H103" s="100"/>
      <c r="I103" s="129"/>
      <c r="J103" s="111"/>
      <c r="K103" s="231"/>
    </row>
    <row r="104" spans="2:11" x14ac:dyDescent="0.2">
      <c r="B104" s="345"/>
      <c r="C104" s="148"/>
      <c r="D104" s="146"/>
      <c r="E104" s="215"/>
      <c r="F104" s="216"/>
      <c r="G104" s="99"/>
      <c r="H104" s="100"/>
      <c r="I104" s="129"/>
      <c r="J104" s="111"/>
      <c r="K104" s="231"/>
    </row>
    <row r="105" spans="2:11" x14ac:dyDescent="0.2">
      <c r="B105" s="345"/>
      <c r="C105" s="148"/>
      <c r="D105" s="146"/>
      <c r="E105" s="215"/>
      <c r="F105" s="216"/>
      <c r="G105" s="99"/>
      <c r="H105" s="100"/>
      <c r="I105" s="129"/>
      <c r="J105" s="111"/>
      <c r="K105" s="231"/>
    </row>
    <row r="106" spans="2:11" x14ac:dyDescent="0.2">
      <c r="B106" s="345"/>
      <c r="C106" s="148"/>
      <c r="D106" s="146"/>
      <c r="E106" s="215"/>
      <c r="F106" s="216"/>
      <c r="G106" s="99"/>
      <c r="H106" s="100"/>
      <c r="I106" s="129"/>
      <c r="J106" s="111"/>
      <c r="K106" s="231"/>
    </row>
    <row r="107" spans="2:11" x14ac:dyDescent="0.2">
      <c r="B107" s="345"/>
      <c r="C107" s="148"/>
      <c r="D107" s="146"/>
      <c r="E107" s="215"/>
      <c r="F107" s="216"/>
      <c r="G107" s="99"/>
      <c r="H107" s="100"/>
      <c r="I107" s="129"/>
      <c r="J107" s="111"/>
      <c r="K107" s="231"/>
    </row>
    <row r="108" spans="2:11" x14ac:dyDescent="0.2">
      <c r="B108" s="345"/>
      <c r="C108" s="148"/>
      <c r="D108" s="146"/>
      <c r="E108" s="215"/>
      <c r="F108" s="216"/>
      <c r="G108" s="99"/>
      <c r="H108" s="100"/>
      <c r="I108" s="129"/>
      <c r="J108" s="111"/>
      <c r="K108" s="231"/>
    </row>
    <row r="109" spans="2:11" ht="18" x14ac:dyDescent="0.25">
      <c r="B109" s="348"/>
      <c r="C109" s="246" t="s">
        <v>38</v>
      </c>
      <c r="D109" s="245" t="s">
        <v>151</v>
      </c>
      <c r="E109" s="245">
        <f>SUM(E110:E126)</f>
        <v>12849993</v>
      </c>
      <c r="F109" s="273">
        <f>F110+F125+F126</f>
        <v>20000000</v>
      </c>
      <c r="G109" s="273">
        <f>G110+G125+G126</f>
        <v>27650007</v>
      </c>
      <c r="H109" s="273">
        <f>H110+H125+H126</f>
        <v>0</v>
      </c>
      <c r="I109" s="273">
        <f>I110+I125+I126</f>
        <v>60500000</v>
      </c>
      <c r="J109" s="273">
        <f>J110+J125+J126</f>
        <v>34832100</v>
      </c>
      <c r="K109" s="274">
        <f>I109-J109</f>
        <v>25667900</v>
      </c>
    </row>
    <row r="110" spans="2:11" ht="15.75" x14ac:dyDescent="0.25">
      <c r="B110" s="343"/>
      <c r="C110" s="236" t="s">
        <v>40</v>
      </c>
      <c r="D110" s="237" t="s">
        <v>41</v>
      </c>
      <c r="E110" s="238">
        <f>2300000+10549993</f>
        <v>12849993</v>
      </c>
      <c r="F110" s="239">
        <f>SUM(F111:F124)</f>
        <v>20000000</v>
      </c>
      <c r="G110" s="248">
        <f>SUM(G111:G124)</f>
        <v>27650007</v>
      </c>
      <c r="H110" s="248">
        <f>SUM(H111:H124)</f>
        <v>0</v>
      </c>
      <c r="I110" s="240">
        <f>E110+F110+G110-H110</f>
        <v>60500000</v>
      </c>
      <c r="J110" s="241">
        <f>SUM(J111:J124)</f>
        <v>34832100</v>
      </c>
      <c r="K110" s="242">
        <f>I110-J110</f>
        <v>25667900</v>
      </c>
    </row>
    <row r="111" spans="2:11" x14ac:dyDescent="0.2">
      <c r="B111" s="349">
        <v>43111</v>
      </c>
      <c r="C111" s="282"/>
      <c r="D111" s="283" t="s">
        <v>172</v>
      </c>
      <c r="E111" s="284"/>
      <c r="F111" s="285"/>
      <c r="G111" s="286">
        <v>27650007</v>
      </c>
      <c r="H111" s="100"/>
      <c r="I111" s="129"/>
      <c r="J111" s="111"/>
      <c r="K111" s="231"/>
    </row>
    <row r="112" spans="2:11" x14ac:dyDescent="0.2">
      <c r="B112" s="349" t="s">
        <v>178</v>
      </c>
      <c r="C112" s="282"/>
      <c r="D112" s="283" t="s">
        <v>179</v>
      </c>
      <c r="E112" s="215"/>
      <c r="F112" s="216"/>
      <c r="G112" s="101"/>
      <c r="H112" s="100"/>
      <c r="I112" s="129"/>
      <c r="J112" s="287">
        <v>7000000</v>
      </c>
      <c r="K112" s="231"/>
    </row>
    <row r="113" spans="2:11" x14ac:dyDescent="0.2">
      <c r="B113" s="349">
        <v>43126</v>
      </c>
      <c r="C113" s="282"/>
      <c r="D113" s="283" t="s">
        <v>180</v>
      </c>
      <c r="E113" s="215"/>
      <c r="F113" s="216"/>
      <c r="G113" s="101"/>
      <c r="H113" s="100"/>
      <c r="I113" s="129"/>
      <c r="J113" s="287">
        <v>14250000</v>
      </c>
      <c r="K113" s="231"/>
    </row>
    <row r="114" spans="2:11" x14ac:dyDescent="0.2">
      <c r="B114" s="349">
        <v>43126</v>
      </c>
      <c r="C114" s="282"/>
      <c r="D114" s="283" t="s">
        <v>181</v>
      </c>
      <c r="E114" s="215"/>
      <c r="F114" s="216"/>
      <c r="G114" s="101"/>
      <c r="H114" s="100"/>
      <c r="I114" s="129"/>
      <c r="J114" s="287">
        <v>12000000</v>
      </c>
      <c r="K114" s="231"/>
    </row>
    <row r="115" spans="2:11" x14ac:dyDescent="0.2">
      <c r="B115" s="349">
        <v>43126</v>
      </c>
      <c r="C115" s="148"/>
      <c r="D115" s="288" t="s">
        <v>182</v>
      </c>
      <c r="E115" s="284"/>
      <c r="F115" s="285"/>
      <c r="G115" s="286"/>
      <c r="H115" s="289"/>
      <c r="I115" s="290"/>
      <c r="J115" s="287">
        <v>1582100</v>
      </c>
      <c r="K115" s="231"/>
    </row>
    <row r="116" spans="2:11" x14ac:dyDescent="0.2">
      <c r="B116" s="345">
        <v>43194</v>
      </c>
      <c r="C116" s="148">
        <v>45</v>
      </c>
      <c r="D116" s="146" t="s">
        <v>233</v>
      </c>
      <c r="E116" s="215"/>
      <c r="F116" s="216">
        <v>20000000</v>
      </c>
      <c r="G116" s="101"/>
      <c r="H116" s="100"/>
      <c r="I116" s="129"/>
      <c r="J116" s="111"/>
      <c r="K116" s="231"/>
    </row>
    <row r="117" spans="2:11" x14ac:dyDescent="0.2">
      <c r="B117" s="345"/>
      <c r="C117" s="148"/>
      <c r="D117" s="147"/>
      <c r="E117" s="215"/>
      <c r="F117" s="216"/>
      <c r="G117" s="101"/>
      <c r="H117" s="100"/>
      <c r="I117" s="129"/>
      <c r="J117" s="111"/>
      <c r="K117" s="231"/>
    </row>
    <row r="118" spans="2:11" x14ac:dyDescent="0.2">
      <c r="B118" s="345"/>
      <c r="C118" s="148"/>
      <c r="D118" s="147"/>
      <c r="E118" s="215"/>
      <c r="F118" s="216"/>
      <c r="G118" s="101"/>
      <c r="H118" s="100"/>
      <c r="I118" s="129"/>
      <c r="J118" s="111"/>
      <c r="K118" s="231"/>
    </row>
    <row r="119" spans="2:11" x14ac:dyDescent="0.2">
      <c r="B119" s="345"/>
      <c r="C119" s="148"/>
      <c r="D119" s="147"/>
      <c r="E119" s="215"/>
      <c r="F119" s="216"/>
      <c r="G119" s="101"/>
      <c r="H119" s="100"/>
      <c r="I119" s="129"/>
      <c r="J119" s="111"/>
      <c r="K119" s="231"/>
    </row>
    <row r="120" spans="2:11" x14ac:dyDescent="0.2">
      <c r="B120" s="345"/>
      <c r="C120" s="148"/>
      <c r="D120" s="147"/>
      <c r="E120" s="215"/>
      <c r="F120" s="216"/>
      <c r="G120" s="101"/>
      <c r="H120" s="100"/>
      <c r="I120" s="129"/>
      <c r="J120" s="111"/>
      <c r="K120" s="231"/>
    </row>
    <row r="121" spans="2:11" x14ac:dyDescent="0.2">
      <c r="B121" s="345"/>
      <c r="C121" s="148"/>
      <c r="D121" s="147"/>
      <c r="E121" s="215"/>
      <c r="F121" s="216"/>
      <c r="G121" s="101"/>
      <c r="H121" s="100"/>
      <c r="I121" s="129"/>
      <c r="J121" s="111"/>
      <c r="K121" s="231"/>
    </row>
    <row r="122" spans="2:11" x14ac:dyDescent="0.2">
      <c r="B122" s="345"/>
      <c r="C122" s="148"/>
      <c r="D122" s="147"/>
      <c r="E122" s="215"/>
      <c r="F122" s="216"/>
      <c r="G122" s="101"/>
      <c r="H122" s="100"/>
      <c r="I122" s="129"/>
      <c r="J122" s="111"/>
      <c r="K122" s="231"/>
    </row>
    <row r="123" spans="2:11" x14ac:dyDescent="0.2">
      <c r="B123" s="345"/>
      <c r="C123" s="148"/>
      <c r="D123" s="147"/>
      <c r="E123" s="215"/>
      <c r="F123" s="216"/>
      <c r="G123" s="101"/>
      <c r="H123" s="100"/>
      <c r="I123" s="129"/>
      <c r="J123" s="111"/>
      <c r="K123" s="231"/>
    </row>
    <row r="124" spans="2:11" x14ac:dyDescent="0.2">
      <c r="B124" s="345"/>
      <c r="C124" s="148"/>
      <c r="D124" s="147"/>
      <c r="E124" s="215"/>
      <c r="F124" s="216"/>
      <c r="G124" s="101"/>
      <c r="H124" s="100"/>
      <c r="I124" s="129"/>
      <c r="J124" s="111"/>
      <c r="K124" s="231"/>
    </row>
    <row r="125" spans="2:11" x14ac:dyDescent="0.2">
      <c r="B125" s="350"/>
      <c r="C125" s="225" t="s">
        <v>42</v>
      </c>
      <c r="D125" s="208" t="s">
        <v>43</v>
      </c>
      <c r="E125" s="226">
        <v>0</v>
      </c>
      <c r="F125" s="227"/>
      <c r="G125" s="209"/>
      <c r="H125" s="209"/>
      <c r="I125" s="209">
        <f>E125+F125+G125-H125</f>
        <v>0</v>
      </c>
      <c r="J125" s="228"/>
      <c r="K125" s="234"/>
    </row>
    <row r="126" spans="2:11" x14ac:dyDescent="0.2">
      <c r="B126" s="350"/>
      <c r="C126" s="225" t="s">
        <v>44</v>
      </c>
      <c r="D126" s="225" t="s">
        <v>45</v>
      </c>
      <c r="E126" s="226">
        <v>0</v>
      </c>
      <c r="F126" s="227"/>
      <c r="G126" s="209"/>
      <c r="H126" s="209"/>
      <c r="I126" s="209">
        <f>E126+F126+G126-H126</f>
        <v>0</v>
      </c>
      <c r="J126" s="228"/>
      <c r="K126" s="234"/>
    </row>
    <row r="127" spans="2:11" ht="24" customHeight="1" x14ac:dyDescent="0.25">
      <c r="B127" s="351"/>
      <c r="C127" s="261"/>
      <c r="D127" s="262" t="s">
        <v>152</v>
      </c>
      <c r="E127" s="263">
        <f t="shared" ref="E127:J127" si="1">E128+E164+E395</f>
        <v>91648328</v>
      </c>
      <c r="F127" s="263">
        <f t="shared" si="1"/>
        <v>145000000</v>
      </c>
      <c r="G127" s="263">
        <f t="shared" si="1"/>
        <v>2631976</v>
      </c>
      <c r="H127" s="263">
        <f t="shared" si="1"/>
        <v>0</v>
      </c>
      <c r="I127" s="263">
        <f t="shared" si="1"/>
        <v>238330304</v>
      </c>
      <c r="J127" s="263">
        <f t="shared" si="1"/>
        <v>109355539</v>
      </c>
      <c r="K127" s="275">
        <f>I127-J127</f>
        <v>128974765</v>
      </c>
    </row>
    <row r="128" spans="2:11" ht="18" x14ac:dyDescent="0.25">
      <c r="B128" s="352"/>
      <c r="C128" s="246">
        <v>20201201</v>
      </c>
      <c r="D128" s="245" t="s">
        <v>153</v>
      </c>
      <c r="E128" s="247">
        <f t="shared" ref="E128:J128" si="2">E129+E140+E154+E163</f>
        <v>16200000</v>
      </c>
      <c r="F128" s="273">
        <f t="shared" si="2"/>
        <v>23000000</v>
      </c>
      <c r="G128" s="273">
        <f t="shared" si="2"/>
        <v>0</v>
      </c>
      <c r="H128" s="273">
        <f t="shared" si="2"/>
        <v>0</v>
      </c>
      <c r="I128" s="247">
        <f t="shared" si="2"/>
        <v>39200000</v>
      </c>
      <c r="J128" s="273">
        <f t="shared" si="2"/>
        <v>20652600</v>
      </c>
      <c r="K128" s="273">
        <f>I128-J128</f>
        <v>18547400</v>
      </c>
    </row>
    <row r="129" spans="2:11" ht="15.75" x14ac:dyDescent="0.25">
      <c r="B129" s="343"/>
      <c r="C129" s="236" t="s">
        <v>48</v>
      </c>
      <c r="D129" s="236" t="s">
        <v>49</v>
      </c>
      <c r="E129" s="238">
        <v>3000000</v>
      </c>
      <c r="F129" s="239">
        <f>SUM(F130:F139)</f>
        <v>3000000</v>
      </c>
      <c r="G129" s="239">
        <f>SUM(G130:G139)</f>
        <v>0</v>
      </c>
      <c r="H129" s="239">
        <f>SUM(H130:H139)</f>
        <v>0</v>
      </c>
      <c r="I129" s="240">
        <f>E129+F129+G129-H129</f>
        <v>6000000</v>
      </c>
      <c r="J129" s="241">
        <f>SUM(J130:J139)</f>
        <v>0</v>
      </c>
      <c r="K129" s="242">
        <f>I129-J129</f>
        <v>6000000</v>
      </c>
    </row>
    <row r="130" spans="2:11" x14ac:dyDescent="0.2">
      <c r="B130" s="345">
        <v>43194</v>
      </c>
      <c r="C130" s="148">
        <v>45</v>
      </c>
      <c r="D130" s="146" t="s">
        <v>233</v>
      </c>
      <c r="E130" s="215"/>
      <c r="F130" s="216">
        <v>3000000</v>
      </c>
      <c r="G130" s="99"/>
      <c r="H130" s="100"/>
      <c r="I130" s="129"/>
      <c r="J130" s="111"/>
      <c r="K130" s="231"/>
    </row>
    <row r="131" spans="2:11" x14ac:dyDescent="0.2">
      <c r="B131" s="345"/>
      <c r="C131" s="148"/>
      <c r="D131" s="148"/>
      <c r="E131" s="215"/>
      <c r="F131" s="216"/>
      <c r="G131" s="99"/>
      <c r="H131" s="100"/>
      <c r="I131" s="129"/>
      <c r="J131" s="111"/>
      <c r="K131" s="231"/>
    </row>
    <row r="132" spans="2:11" x14ac:dyDescent="0.2">
      <c r="B132" s="345"/>
      <c r="C132" s="148"/>
      <c r="D132" s="148"/>
      <c r="E132" s="215"/>
      <c r="F132" s="216"/>
      <c r="G132" s="99"/>
      <c r="H132" s="100"/>
      <c r="I132" s="129"/>
      <c r="J132" s="111"/>
      <c r="K132" s="231"/>
    </row>
    <row r="133" spans="2:11" x14ac:dyDescent="0.2">
      <c r="B133" s="345"/>
      <c r="C133" s="148"/>
      <c r="D133" s="148"/>
      <c r="E133" s="215"/>
      <c r="F133" s="216"/>
      <c r="G133" s="99"/>
      <c r="H133" s="100"/>
      <c r="I133" s="129"/>
      <c r="J133" s="111"/>
      <c r="K133" s="231"/>
    </row>
    <row r="134" spans="2:11" x14ac:dyDescent="0.2">
      <c r="B134" s="345"/>
      <c r="C134" s="148"/>
      <c r="D134" s="148"/>
      <c r="E134" s="215"/>
      <c r="F134" s="216"/>
      <c r="G134" s="99"/>
      <c r="H134" s="100"/>
      <c r="I134" s="129"/>
      <c r="J134" s="111"/>
      <c r="K134" s="231"/>
    </row>
    <row r="135" spans="2:11" x14ac:dyDescent="0.2">
      <c r="B135" s="345"/>
      <c r="C135" s="148"/>
      <c r="D135" s="148"/>
      <c r="E135" s="215"/>
      <c r="F135" s="216"/>
      <c r="G135" s="99"/>
      <c r="H135" s="100"/>
      <c r="I135" s="129"/>
      <c r="J135" s="111"/>
      <c r="K135" s="231"/>
    </row>
    <row r="136" spans="2:11" x14ac:dyDescent="0.2">
      <c r="B136" s="345"/>
      <c r="C136" s="148"/>
      <c r="D136" s="148"/>
      <c r="E136" s="215"/>
      <c r="F136" s="216"/>
      <c r="G136" s="99"/>
      <c r="H136" s="100"/>
      <c r="I136" s="129"/>
      <c r="J136" s="111"/>
      <c r="K136" s="231"/>
    </row>
    <row r="137" spans="2:11" x14ac:dyDescent="0.2">
      <c r="B137" s="345"/>
      <c r="C137" s="148"/>
      <c r="D137" s="148"/>
      <c r="E137" s="215"/>
      <c r="F137" s="216"/>
      <c r="G137" s="99"/>
      <c r="H137" s="100"/>
      <c r="I137" s="129"/>
      <c r="J137" s="111"/>
      <c r="K137" s="231"/>
    </row>
    <row r="138" spans="2:11" x14ac:dyDescent="0.2">
      <c r="B138" s="345"/>
      <c r="C138" s="148"/>
      <c r="D138" s="148"/>
      <c r="E138" s="215"/>
      <c r="F138" s="216"/>
      <c r="G138" s="99"/>
      <c r="H138" s="100"/>
      <c r="I138" s="129"/>
      <c r="J138" s="111"/>
      <c r="K138" s="231"/>
    </row>
    <row r="139" spans="2:11" x14ac:dyDescent="0.2">
      <c r="B139" s="345"/>
      <c r="C139" s="148"/>
      <c r="D139" s="148"/>
      <c r="E139" s="215"/>
      <c r="F139" s="216"/>
      <c r="G139" s="99"/>
      <c r="H139" s="100"/>
      <c r="I139" s="129"/>
      <c r="J139" s="111"/>
      <c r="K139" s="231"/>
    </row>
    <row r="140" spans="2:11" ht="15.75" x14ac:dyDescent="0.25">
      <c r="B140" s="343"/>
      <c r="C140" s="236" t="s">
        <v>50</v>
      </c>
      <c r="D140" s="236" t="s">
        <v>51</v>
      </c>
      <c r="E140" s="238">
        <v>12000000</v>
      </c>
      <c r="F140" s="268">
        <f>SUM(F141:F153)</f>
        <v>20000000</v>
      </c>
      <c r="G140" s="268">
        <f>SUM(G141:G153)</f>
        <v>0</v>
      </c>
      <c r="H140" s="268">
        <f>SUM(H141:H153)</f>
        <v>0</v>
      </c>
      <c r="I140" s="240">
        <f>E140+F140+G140-H140</f>
        <v>32000000</v>
      </c>
      <c r="J140" s="241">
        <f>SUM(J141:J153)</f>
        <v>20652600</v>
      </c>
      <c r="K140" s="242">
        <f>I140-J140</f>
        <v>11347400</v>
      </c>
    </row>
    <row r="141" spans="2:11" x14ac:dyDescent="0.2">
      <c r="B141" s="345">
        <v>43124</v>
      </c>
      <c r="C141" s="148"/>
      <c r="D141" s="149" t="s">
        <v>177</v>
      </c>
      <c r="E141" s="215"/>
      <c r="F141" s="135"/>
      <c r="G141" s="99"/>
      <c r="H141" s="100"/>
      <c r="I141" s="129"/>
      <c r="J141" s="111">
        <v>499800</v>
      </c>
      <c r="K141" s="231"/>
    </row>
    <row r="142" spans="2:11" x14ac:dyDescent="0.2">
      <c r="B142" s="345"/>
      <c r="C142" s="148"/>
      <c r="D142" s="214" t="s">
        <v>184</v>
      </c>
      <c r="E142" s="215"/>
      <c r="F142" s="135">
        <v>20000000</v>
      </c>
      <c r="G142" s="99"/>
      <c r="H142" s="100"/>
      <c r="I142" s="129"/>
      <c r="J142" s="111"/>
      <c r="K142" s="231"/>
    </row>
    <row r="143" spans="2:11" x14ac:dyDescent="0.2">
      <c r="B143" s="345">
        <v>43131</v>
      </c>
      <c r="C143" s="148"/>
      <c r="D143" s="149" t="s">
        <v>186</v>
      </c>
      <c r="E143" s="215"/>
      <c r="F143" s="135"/>
      <c r="G143" s="99"/>
      <c r="H143" s="100"/>
      <c r="I143" s="129"/>
      <c r="J143" s="111">
        <v>1100000</v>
      </c>
      <c r="K143" s="231"/>
    </row>
    <row r="144" spans="2:11" x14ac:dyDescent="0.2">
      <c r="B144" s="345" t="s">
        <v>193</v>
      </c>
      <c r="C144" s="148"/>
      <c r="D144" s="149" t="s">
        <v>194</v>
      </c>
      <c r="E144" s="215"/>
      <c r="F144" s="135"/>
      <c r="G144" s="99"/>
      <c r="H144" s="100"/>
      <c r="I144" s="129"/>
      <c r="J144" s="111">
        <v>14395000</v>
      </c>
      <c r="K144" s="231"/>
    </row>
    <row r="145" spans="2:11" x14ac:dyDescent="0.2">
      <c r="B145" s="345">
        <v>43194</v>
      </c>
      <c r="C145" s="148"/>
      <c r="D145" s="149" t="s">
        <v>213</v>
      </c>
      <c r="E145" s="215"/>
      <c r="F145" s="135"/>
      <c r="G145" s="99"/>
      <c r="H145" s="100"/>
      <c r="I145" s="129"/>
      <c r="J145" s="111">
        <v>900600</v>
      </c>
      <c r="K145" s="231"/>
    </row>
    <row r="146" spans="2:11" x14ac:dyDescent="0.2">
      <c r="B146" s="345">
        <v>43222</v>
      </c>
      <c r="C146" s="148"/>
      <c r="D146" s="149" t="s">
        <v>223</v>
      </c>
      <c r="E146" s="215"/>
      <c r="F146" s="135"/>
      <c r="G146" s="99"/>
      <c r="H146" s="100"/>
      <c r="I146" s="129"/>
      <c r="J146" s="111">
        <v>2660000</v>
      </c>
      <c r="K146" s="231"/>
    </row>
    <row r="147" spans="2:11" x14ac:dyDescent="0.2">
      <c r="B147" s="345">
        <v>43224</v>
      </c>
      <c r="C147" s="148"/>
      <c r="D147" s="149" t="s">
        <v>213</v>
      </c>
      <c r="E147" s="215"/>
      <c r="F147" s="135"/>
      <c r="G147" s="99"/>
      <c r="H147" s="100"/>
      <c r="I147" s="129"/>
      <c r="J147" s="111">
        <v>1097200</v>
      </c>
      <c r="K147" s="231"/>
    </row>
    <row r="148" spans="2:11" x14ac:dyDescent="0.2">
      <c r="B148" s="345"/>
      <c r="C148" s="148"/>
      <c r="D148" s="149"/>
      <c r="E148" s="215"/>
      <c r="F148" s="135"/>
      <c r="G148" s="99"/>
      <c r="H148" s="100"/>
      <c r="I148" s="129"/>
      <c r="J148" s="111"/>
      <c r="K148" s="231"/>
    </row>
    <row r="149" spans="2:11" x14ac:dyDescent="0.2">
      <c r="B149" s="345"/>
      <c r="C149" s="148"/>
      <c r="D149" s="149"/>
      <c r="E149" s="215"/>
      <c r="F149" s="135"/>
      <c r="G149" s="99"/>
      <c r="H149" s="100"/>
      <c r="I149" s="129"/>
      <c r="J149" s="111"/>
      <c r="K149" s="231"/>
    </row>
    <row r="150" spans="2:11" x14ac:dyDescent="0.2">
      <c r="B150" s="345"/>
      <c r="C150" s="148"/>
      <c r="D150" s="149"/>
      <c r="E150" s="215"/>
      <c r="F150" s="135"/>
      <c r="G150" s="99"/>
      <c r="H150" s="100"/>
      <c r="I150" s="129"/>
      <c r="J150" s="111"/>
      <c r="K150" s="231"/>
    </row>
    <row r="151" spans="2:11" x14ac:dyDescent="0.2">
      <c r="B151" s="345"/>
      <c r="C151" s="148"/>
      <c r="D151" s="149"/>
      <c r="E151" s="215"/>
      <c r="F151" s="135"/>
      <c r="G151" s="99"/>
      <c r="H151" s="100"/>
      <c r="I151" s="129"/>
      <c r="J151" s="111"/>
      <c r="K151" s="231"/>
    </row>
    <row r="152" spans="2:11" x14ac:dyDescent="0.2">
      <c r="B152" s="345"/>
      <c r="C152" s="148"/>
      <c r="D152" s="149"/>
      <c r="E152" s="215"/>
      <c r="F152" s="135"/>
      <c r="G152" s="99"/>
      <c r="H152" s="100"/>
      <c r="I152" s="129"/>
      <c r="J152" s="111"/>
      <c r="K152" s="231"/>
    </row>
    <row r="153" spans="2:11" x14ac:dyDescent="0.2">
      <c r="B153" s="345"/>
      <c r="C153" s="148"/>
      <c r="D153" s="149"/>
      <c r="E153" s="215"/>
      <c r="F153" s="135"/>
      <c r="G153" s="99"/>
      <c r="H153" s="100"/>
      <c r="I153" s="129"/>
      <c r="J153" s="111"/>
      <c r="K153" s="231"/>
    </row>
    <row r="154" spans="2:11" ht="15.75" x14ac:dyDescent="0.25">
      <c r="B154" s="343"/>
      <c r="C154" s="236" t="s">
        <v>52</v>
      </c>
      <c r="D154" s="236" t="s">
        <v>53</v>
      </c>
      <c r="E154" s="238">
        <v>1200000</v>
      </c>
      <c r="F154" s="239">
        <f>SUM(F155:F162)</f>
        <v>0</v>
      </c>
      <c r="G154" s="239">
        <f>SUM(G155:G162)</f>
        <v>0</v>
      </c>
      <c r="H154" s="239">
        <f>SUM(H155:H162)</f>
        <v>0</v>
      </c>
      <c r="I154" s="240">
        <f>E154+F154+G154-H154</f>
        <v>1200000</v>
      </c>
      <c r="J154" s="239">
        <f>SUM(J155:J162)</f>
        <v>0</v>
      </c>
      <c r="K154" s="242">
        <f>I154-J154</f>
        <v>1200000</v>
      </c>
    </row>
    <row r="155" spans="2:11" x14ac:dyDescent="0.2">
      <c r="B155" s="345"/>
      <c r="C155" s="148"/>
      <c r="D155" s="148"/>
      <c r="E155" s="215"/>
      <c r="F155" s="216"/>
      <c r="G155" s="99"/>
      <c r="H155" s="100"/>
      <c r="I155" s="129"/>
      <c r="J155" s="111"/>
      <c r="K155" s="231"/>
    </row>
    <row r="156" spans="2:11" x14ac:dyDescent="0.2">
      <c r="B156" s="345"/>
      <c r="C156" s="148"/>
      <c r="D156" s="148"/>
      <c r="E156" s="215"/>
      <c r="F156" s="216"/>
      <c r="G156" s="99"/>
      <c r="H156" s="100"/>
      <c r="I156" s="129"/>
      <c r="J156" s="111"/>
      <c r="K156" s="231"/>
    </row>
    <row r="157" spans="2:11" x14ac:dyDescent="0.2">
      <c r="B157" s="345"/>
      <c r="C157" s="148"/>
      <c r="D157" s="148"/>
      <c r="E157" s="215"/>
      <c r="F157" s="216"/>
      <c r="G157" s="99"/>
      <c r="H157" s="100"/>
      <c r="I157" s="129"/>
      <c r="J157" s="111"/>
      <c r="K157" s="231"/>
    </row>
    <row r="158" spans="2:11" x14ac:dyDescent="0.2">
      <c r="B158" s="345"/>
      <c r="C158" s="148"/>
      <c r="D158" s="148"/>
      <c r="E158" s="215"/>
      <c r="F158" s="216"/>
      <c r="G158" s="99"/>
      <c r="H158" s="100"/>
      <c r="I158" s="129"/>
      <c r="J158" s="111"/>
      <c r="K158" s="231"/>
    </row>
    <row r="159" spans="2:11" x14ac:dyDescent="0.2">
      <c r="B159" s="345"/>
      <c r="C159" s="148"/>
      <c r="D159" s="148"/>
      <c r="E159" s="215"/>
      <c r="F159" s="216"/>
      <c r="G159" s="99"/>
      <c r="H159" s="100"/>
      <c r="I159" s="129"/>
      <c r="J159" s="111"/>
      <c r="K159" s="231"/>
    </row>
    <row r="160" spans="2:11" x14ac:dyDescent="0.2">
      <c r="B160" s="345"/>
      <c r="C160" s="148"/>
      <c r="D160" s="148"/>
      <c r="E160" s="215"/>
      <c r="F160" s="216"/>
      <c r="G160" s="99"/>
      <c r="H160" s="100"/>
      <c r="I160" s="129"/>
      <c r="J160" s="111"/>
      <c r="K160" s="231"/>
    </row>
    <row r="161" spans="2:12" x14ac:dyDescent="0.2">
      <c r="B161" s="345"/>
      <c r="C161" s="148"/>
      <c r="D161" s="148"/>
      <c r="E161" s="215"/>
      <c r="F161" s="216"/>
      <c r="G161" s="99"/>
      <c r="H161" s="100"/>
      <c r="I161" s="129"/>
      <c r="J161" s="111"/>
      <c r="K161" s="231"/>
    </row>
    <row r="162" spans="2:12" x14ac:dyDescent="0.2">
      <c r="B162" s="345"/>
      <c r="C162" s="148"/>
      <c r="D162" s="148"/>
      <c r="E162" s="215"/>
      <c r="F162" s="216"/>
      <c r="G162" s="99"/>
      <c r="H162" s="100"/>
      <c r="I162" s="129"/>
      <c r="J162" s="111"/>
      <c r="K162" s="231"/>
    </row>
    <row r="163" spans="2:12" x14ac:dyDescent="0.2">
      <c r="B163" s="346"/>
      <c r="C163" s="217" t="s">
        <v>54</v>
      </c>
      <c r="D163" s="217" t="s">
        <v>55</v>
      </c>
      <c r="E163" s="218">
        <v>0</v>
      </c>
      <c r="F163" s="219">
        <v>0</v>
      </c>
      <c r="G163" s="213">
        <v>0</v>
      </c>
      <c r="H163" s="213">
        <v>0</v>
      </c>
      <c r="I163" s="213">
        <f>E163+F163+G163-H163</f>
        <v>0</v>
      </c>
      <c r="J163" s="220"/>
      <c r="K163" s="232"/>
    </row>
    <row r="164" spans="2:12" ht="18" x14ac:dyDescent="0.25">
      <c r="B164" s="352"/>
      <c r="C164" s="246" t="s">
        <v>56</v>
      </c>
      <c r="D164" s="264" t="s">
        <v>154</v>
      </c>
      <c r="E164" s="265">
        <f>E165+E186+E256+E276+E291+E317+E339+E350+E354+E363+E373+E380+E385+E390+E392+E395</f>
        <v>75448328</v>
      </c>
      <c r="F164" s="265">
        <f>F165+F186+F256+F276+F291+F317+F339+F350+F354+F363+F373+F380+F385+F390+F392+F395</f>
        <v>122000000</v>
      </c>
      <c r="G164" s="265">
        <f>G165+G186+G256+G276+G291+G317+G339+G350+G354+G363+G373+G380+G385+G390+G392+G395</f>
        <v>1631976</v>
      </c>
      <c r="H164" s="265">
        <f>H165+H186+H256+H276+H291+H317+H339+H350+H354+H363+H373+H380+H385+H390+H392+H395</f>
        <v>0</v>
      </c>
      <c r="I164" s="265">
        <f>I165+I186+I256+I276+I291+I317+I339+I350+I354+I363+I373+I380+I385+I390+I395</f>
        <v>198130304</v>
      </c>
      <c r="J164" s="265">
        <f>J165+J186+J256+J276+J291+J317+J339+J350+J354+J363+J373+J380+J385+J390+J392+J395</f>
        <v>88274182</v>
      </c>
      <c r="K164" s="276">
        <f>I164-J164</f>
        <v>109856122</v>
      </c>
    </row>
    <row r="165" spans="2:12" ht="15.75" x14ac:dyDescent="0.25">
      <c r="B165" s="343"/>
      <c r="C165" s="236" t="s">
        <v>58</v>
      </c>
      <c r="D165" s="236" t="s">
        <v>59</v>
      </c>
      <c r="E165" s="238">
        <v>180000</v>
      </c>
      <c r="F165" s="268">
        <f>SUM(F166:F185)</f>
        <v>31000000</v>
      </c>
      <c r="G165" s="268">
        <f>SUM(G166:G185)</f>
        <v>0</v>
      </c>
      <c r="H165" s="268">
        <f>SUM(H166:H185)</f>
        <v>0</v>
      </c>
      <c r="I165" s="240">
        <f>E165+F165+G165-H165</f>
        <v>31180000</v>
      </c>
      <c r="J165" s="268">
        <f>SUM(J166:J185)</f>
        <v>18461000</v>
      </c>
      <c r="K165" s="242">
        <f>I165-J165</f>
        <v>12719000</v>
      </c>
    </row>
    <row r="166" spans="2:12" x14ac:dyDescent="0.2">
      <c r="B166" s="345"/>
      <c r="C166" s="148"/>
      <c r="D166" s="214" t="s">
        <v>184</v>
      </c>
      <c r="E166" s="215"/>
      <c r="F166" s="135">
        <v>16000000</v>
      </c>
      <c r="G166" s="101"/>
      <c r="H166" s="100"/>
      <c r="I166" s="129"/>
      <c r="J166" s="111"/>
      <c r="K166" s="231"/>
    </row>
    <row r="167" spans="2:12" x14ac:dyDescent="0.2">
      <c r="B167" s="345">
        <v>43131</v>
      </c>
      <c r="C167" s="148"/>
      <c r="D167" s="148" t="s">
        <v>186</v>
      </c>
      <c r="E167" s="215"/>
      <c r="F167" s="135"/>
      <c r="G167" s="101"/>
      <c r="H167" s="100"/>
      <c r="I167" s="129"/>
      <c r="J167" s="111">
        <v>1200000</v>
      </c>
      <c r="K167" s="231"/>
    </row>
    <row r="168" spans="2:12" x14ac:dyDescent="0.2">
      <c r="D168" s="103" t="s">
        <v>215</v>
      </c>
      <c r="E168" s="215"/>
      <c r="F168" s="135"/>
      <c r="G168" s="101"/>
      <c r="H168" s="100"/>
      <c r="I168" s="129"/>
      <c r="J168" s="111">
        <v>14930000</v>
      </c>
      <c r="K168" s="231"/>
    </row>
    <row r="169" spans="2:12" x14ac:dyDescent="0.2">
      <c r="B169" s="345">
        <v>43194</v>
      </c>
      <c r="C169" s="148"/>
      <c r="D169" s="148" t="s">
        <v>214</v>
      </c>
      <c r="E169" s="215"/>
      <c r="F169" s="135">
        <v>15000000</v>
      </c>
      <c r="G169" s="101"/>
      <c r="H169" s="100"/>
      <c r="I169" s="129"/>
      <c r="J169" s="331"/>
      <c r="K169" s="231"/>
      <c r="L169" s="331"/>
    </row>
    <row r="170" spans="2:12" x14ac:dyDescent="0.2">
      <c r="B170" s="345">
        <v>43194</v>
      </c>
      <c r="C170" s="148"/>
      <c r="D170" s="148" t="s">
        <v>213</v>
      </c>
      <c r="E170" s="215"/>
      <c r="F170" s="135"/>
      <c r="G170" s="101"/>
      <c r="H170" s="100"/>
      <c r="I170" s="129"/>
      <c r="J170" s="331">
        <v>1135000</v>
      </c>
      <c r="K170" s="231"/>
      <c r="L170" s="331"/>
    </row>
    <row r="171" spans="2:12" x14ac:dyDescent="0.2">
      <c r="B171" s="345">
        <v>43224</v>
      </c>
      <c r="C171" s="148"/>
      <c r="D171" s="148" t="s">
        <v>213</v>
      </c>
      <c r="E171" s="215"/>
      <c r="F171" s="135"/>
      <c r="G171" s="101"/>
      <c r="H171" s="100"/>
      <c r="I171" s="129"/>
      <c r="J171" s="111">
        <v>1196000</v>
      </c>
      <c r="K171" s="231"/>
      <c r="L171" s="111"/>
    </row>
    <row r="172" spans="2:12" x14ac:dyDescent="0.2">
      <c r="B172" s="345"/>
      <c r="C172" s="148"/>
      <c r="D172" s="148"/>
      <c r="E172" s="215"/>
      <c r="F172" s="135"/>
      <c r="G172" s="101"/>
      <c r="H172" s="100"/>
      <c r="I172" s="129"/>
      <c r="J172" s="111"/>
      <c r="K172" s="231"/>
    </row>
    <row r="173" spans="2:12" x14ac:dyDescent="0.2">
      <c r="B173" s="345"/>
      <c r="C173" s="148"/>
      <c r="D173" s="148"/>
      <c r="E173" s="215"/>
      <c r="F173" s="135"/>
      <c r="G173" s="101"/>
      <c r="H173" s="100"/>
      <c r="I173" s="129"/>
      <c r="J173" s="111"/>
      <c r="K173" s="231"/>
    </row>
    <row r="174" spans="2:12" x14ac:dyDescent="0.2">
      <c r="B174" s="345"/>
      <c r="C174" s="148"/>
      <c r="D174" s="148"/>
      <c r="E174" s="215"/>
      <c r="F174" s="135"/>
      <c r="G174" s="101"/>
      <c r="H174" s="100"/>
      <c r="I174" s="129"/>
      <c r="J174" s="111"/>
      <c r="K174" s="231"/>
    </row>
    <row r="175" spans="2:12" x14ac:dyDescent="0.2">
      <c r="B175" s="345"/>
      <c r="C175" s="148"/>
      <c r="D175" s="148"/>
      <c r="E175" s="215"/>
      <c r="F175" s="135"/>
      <c r="G175" s="101"/>
      <c r="H175" s="100"/>
      <c r="I175" s="129"/>
      <c r="J175" s="111"/>
      <c r="K175" s="231"/>
    </row>
    <row r="176" spans="2:12" x14ac:dyDescent="0.2">
      <c r="B176" s="345"/>
      <c r="C176" s="148"/>
      <c r="D176" s="148"/>
      <c r="E176" s="215"/>
      <c r="F176" s="135"/>
      <c r="G176" s="101"/>
      <c r="H176" s="100"/>
      <c r="I176" s="129"/>
      <c r="J176" s="111"/>
      <c r="K176" s="231"/>
    </row>
    <row r="177" spans="1:12" x14ac:dyDescent="0.2">
      <c r="B177" s="345"/>
      <c r="C177" s="148"/>
      <c r="D177" s="148"/>
      <c r="E177" s="215"/>
      <c r="F177" s="135"/>
      <c r="G177" s="101"/>
      <c r="H177" s="100"/>
      <c r="I177" s="129"/>
      <c r="J177" s="111"/>
      <c r="K177" s="231"/>
    </row>
    <row r="178" spans="1:12" x14ac:dyDescent="0.2">
      <c r="B178" s="345"/>
      <c r="C178" s="148"/>
      <c r="D178" s="148"/>
      <c r="E178" s="215"/>
      <c r="F178" s="135"/>
      <c r="G178" s="101"/>
      <c r="H178" s="100"/>
      <c r="I178" s="129"/>
      <c r="J178" s="111"/>
      <c r="K178" s="231"/>
    </row>
    <row r="179" spans="1:12" x14ac:dyDescent="0.2">
      <c r="B179" s="345"/>
      <c r="C179" s="148"/>
      <c r="D179" s="148"/>
      <c r="E179" s="215"/>
      <c r="F179" s="135"/>
      <c r="G179" s="101"/>
      <c r="H179" s="100"/>
      <c r="I179" s="129"/>
      <c r="J179" s="111"/>
      <c r="K179" s="231"/>
    </row>
    <row r="180" spans="1:12" x14ac:dyDescent="0.2">
      <c r="B180" s="345"/>
      <c r="C180" s="148"/>
      <c r="D180" s="148"/>
      <c r="E180" s="215"/>
      <c r="F180" s="135"/>
      <c r="G180" s="101"/>
      <c r="H180" s="100"/>
      <c r="I180" s="129"/>
      <c r="J180" s="111"/>
      <c r="K180" s="231"/>
    </row>
    <row r="181" spans="1:12" x14ac:dyDescent="0.2">
      <c r="B181" s="345"/>
      <c r="C181" s="148"/>
      <c r="D181" s="148"/>
      <c r="E181" s="215"/>
      <c r="F181" s="135"/>
      <c r="G181" s="101"/>
      <c r="H181" s="100"/>
      <c r="I181" s="129"/>
      <c r="J181" s="111"/>
      <c r="K181" s="231"/>
    </row>
    <row r="182" spans="1:12" x14ac:dyDescent="0.2">
      <c r="B182" s="345"/>
      <c r="C182" s="148"/>
      <c r="D182" s="148"/>
      <c r="E182" s="215"/>
      <c r="F182" s="135"/>
      <c r="G182" s="101"/>
      <c r="H182" s="100"/>
      <c r="I182" s="129"/>
      <c r="J182" s="111"/>
      <c r="K182" s="231"/>
    </row>
    <row r="183" spans="1:12" x14ac:dyDescent="0.2">
      <c r="B183" s="345"/>
      <c r="C183" s="148"/>
      <c r="D183" s="148"/>
      <c r="E183" s="215"/>
      <c r="F183" s="135"/>
      <c r="G183" s="101"/>
      <c r="H183" s="100"/>
      <c r="I183" s="129"/>
      <c r="J183" s="111"/>
      <c r="K183" s="231"/>
    </row>
    <row r="184" spans="1:12" x14ac:dyDescent="0.2">
      <c r="B184" s="345"/>
      <c r="C184" s="148"/>
      <c r="D184" s="148"/>
      <c r="E184" s="215"/>
      <c r="F184" s="135"/>
      <c r="G184" s="101"/>
      <c r="H184" s="100"/>
      <c r="I184" s="129"/>
      <c r="J184" s="111"/>
      <c r="K184" s="231"/>
    </row>
    <row r="185" spans="1:12" x14ac:dyDescent="0.2">
      <c r="B185" s="345"/>
      <c r="C185" s="148"/>
      <c r="D185" s="148"/>
      <c r="E185" s="215"/>
      <c r="F185" s="135"/>
      <c r="G185" s="101"/>
      <c r="H185" s="100"/>
      <c r="I185" s="129"/>
      <c r="J185" s="111"/>
      <c r="K185" s="231"/>
    </row>
    <row r="186" spans="1:12" ht="15.75" x14ac:dyDescent="0.25">
      <c r="B186" s="343"/>
      <c r="C186" s="236">
        <v>2020120202</v>
      </c>
      <c r="D186" s="236" t="s">
        <v>61</v>
      </c>
      <c r="E186" s="238">
        <v>39298328</v>
      </c>
      <c r="F186" s="268">
        <f>SUM(F187:F255)</f>
        <v>50000000</v>
      </c>
      <c r="G186" s="268">
        <f>SUM(G187:G255)</f>
        <v>0</v>
      </c>
      <c r="H186" s="268">
        <f>SUM(H187:H255)</f>
        <v>0</v>
      </c>
      <c r="I186" s="240">
        <f>E186+F186+G186-H186</f>
        <v>89298328</v>
      </c>
      <c r="J186" s="268">
        <f>SUM(J187:J255)</f>
        <v>52875231</v>
      </c>
      <c r="K186" s="242">
        <f>I186-J186</f>
        <v>36423097</v>
      </c>
    </row>
    <row r="187" spans="1:12" x14ac:dyDescent="0.2">
      <c r="A187" s="103">
        <v>1</v>
      </c>
      <c r="B187" s="345">
        <v>43132</v>
      </c>
      <c r="C187" s="148"/>
      <c r="D187" s="148" t="s">
        <v>158</v>
      </c>
      <c r="E187" s="215"/>
      <c r="F187" s="135"/>
      <c r="G187" s="101"/>
      <c r="H187" s="100"/>
      <c r="I187" s="129"/>
      <c r="J187" s="111">
        <v>606071</v>
      </c>
      <c r="K187" s="231"/>
    </row>
    <row r="188" spans="1:12" x14ac:dyDescent="0.2">
      <c r="A188" s="103">
        <v>2</v>
      </c>
      <c r="B188" s="345">
        <v>43132</v>
      </c>
      <c r="C188" s="148"/>
      <c r="D188" s="148" t="s">
        <v>187</v>
      </c>
      <c r="E188" s="215"/>
      <c r="F188" s="135"/>
      <c r="G188" s="101"/>
      <c r="H188" s="100"/>
      <c r="I188" s="129"/>
      <c r="J188" s="111">
        <v>268544</v>
      </c>
      <c r="K188" s="231"/>
    </row>
    <row r="189" spans="1:12" x14ac:dyDescent="0.2">
      <c r="A189" s="103">
        <v>3</v>
      </c>
      <c r="B189" s="345">
        <v>43145</v>
      </c>
      <c r="C189" s="148"/>
      <c r="D189" s="148" t="s">
        <v>158</v>
      </c>
      <c r="E189" s="215"/>
      <c r="F189" s="135"/>
      <c r="G189" s="101"/>
      <c r="H189" s="100"/>
      <c r="I189" s="129"/>
      <c r="J189" s="111">
        <v>909107</v>
      </c>
      <c r="K189" s="231"/>
      <c r="L189" s="116">
        <f>K186</f>
        <v>36423097</v>
      </c>
    </row>
    <row r="190" spans="1:12" x14ac:dyDescent="0.2">
      <c r="A190" s="103">
        <v>4</v>
      </c>
      <c r="B190" s="345">
        <v>43145</v>
      </c>
      <c r="C190" s="148"/>
      <c r="D190" s="148" t="s">
        <v>187</v>
      </c>
      <c r="E190" s="215"/>
      <c r="F190" s="135"/>
      <c r="G190" s="101"/>
      <c r="H190" s="100"/>
      <c r="I190" s="129"/>
      <c r="J190" s="111">
        <v>332816</v>
      </c>
      <c r="K190" s="231"/>
      <c r="L190" s="116"/>
    </row>
    <row r="191" spans="1:12" x14ac:dyDescent="0.2">
      <c r="A191" s="103">
        <v>5</v>
      </c>
      <c r="B191" s="345">
        <v>43151</v>
      </c>
      <c r="C191" s="148"/>
      <c r="D191" s="148" t="s">
        <v>158</v>
      </c>
      <c r="E191" s="215"/>
      <c r="F191" s="135"/>
      <c r="G191" s="101"/>
      <c r="H191" s="100"/>
      <c r="I191" s="129"/>
      <c r="J191" s="111">
        <v>636000</v>
      </c>
      <c r="K191" s="231"/>
      <c r="L191" s="116"/>
    </row>
    <row r="192" spans="1:12" x14ac:dyDescent="0.2">
      <c r="A192" s="103">
        <v>6</v>
      </c>
      <c r="B192" s="345">
        <v>43151</v>
      </c>
      <c r="C192" s="148"/>
      <c r="D192" s="148" t="s">
        <v>187</v>
      </c>
      <c r="E192" s="215"/>
      <c r="F192" s="135"/>
      <c r="G192" s="101"/>
      <c r="H192" s="100"/>
      <c r="I192" s="129"/>
      <c r="J192" s="111">
        <v>275000</v>
      </c>
      <c r="K192" s="231"/>
    </row>
    <row r="193" spans="1:12" x14ac:dyDescent="0.2">
      <c r="A193" s="103">
        <v>7</v>
      </c>
      <c r="B193" s="345">
        <v>43151</v>
      </c>
      <c r="C193" s="148"/>
      <c r="D193" s="148" t="s">
        <v>195</v>
      </c>
      <c r="E193" s="215"/>
      <c r="F193" s="135"/>
      <c r="G193" s="101"/>
      <c r="H193" s="100"/>
      <c r="I193" s="129"/>
      <c r="J193" s="111">
        <v>1433100</v>
      </c>
      <c r="K193" s="231"/>
    </row>
    <row r="194" spans="1:12" x14ac:dyDescent="0.2">
      <c r="A194" s="103">
        <v>8</v>
      </c>
      <c r="B194" s="345">
        <v>43151</v>
      </c>
      <c r="C194" s="148"/>
      <c r="D194" s="148" t="s">
        <v>196</v>
      </c>
      <c r="E194" s="215"/>
      <c r="F194" s="135"/>
      <c r="G194" s="101"/>
      <c r="H194" s="100"/>
      <c r="I194" s="129"/>
      <c r="J194" s="111">
        <v>1433100</v>
      </c>
      <c r="K194" s="231"/>
    </row>
    <row r="195" spans="1:12" x14ac:dyDescent="0.2">
      <c r="A195" s="103">
        <v>9</v>
      </c>
      <c r="B195" s="345">
        <v>43151</v>
      </c>
      <c r="C195" s="148"/>
      <c r="D195" s="148" t="s">
        <v>197</v>
      </c>
      <c r="E195" s="215"/>
      <c r="F195" s="135"/>
      <c r="G195" s="101"/>
      <c r="H195" s="100"/>
      <c r="I195" s="129"/>
      <c r="J195" s="111">
        <v>1329600</v>
      </c>
      <c r="K195" s="231"/>
    </row>
    <row r="196" spans="1:12" x14ac:dyDescent="0.2">
      <c r="A196" s="103">
        <v>10</v>
      </c>
      <c r="B196" s="345">
        <v>43152</v>
      </c>
      <c r="C196" s="148"/>
      <c r="D196" s="148" t="s">
        <v>158</v>
      </c>
      <c r="E196" s="215"/>
      <c r="F196" s="135"/>
      <c r="G196" s="101"/>
      <c r="H196" s="100"/>
      <c r="I196" s="129"/>
      <c r="J196" s="111">
        <v>2235330</v>
      </c>
      <c r="K196" s="231"/>
    </row>
    <row r="197" spans="1:12" x14ac:dyDescent="0.2">
      <c r="A197" s="103">
        <v>11</v>
      </c>
      <c r="B197" s="345">
        <v>43154</v>
      </c>
      <c r="C197" s="148"/>
      <c r="D197" s="148" t="s">
        <v>198</v>
      </c>
      <c r="E197" s="215"/>
      <c r="F197" s="135"/>
      <c r="G197" s="101"/>
      <c r="H197" s="100"/>
      <c r="I197" s="129"/>
      <c r="J197" s="111">
        <v>1044500</v>
      </c>
      <c r="K197" s="231"/>
    </row>
    <row r="198" spans="1:12" x14ac:dyDescent="0.2">
      <c r="A198" s="103">
        <v>12</v>
      </c>
      <c r="B198" s="345">
        <v>43154</v>
      </c>
      <c r="C198" s="148"/>
      <c r="D198" s="148" t="s">
        <v>158</v>
      </c>
      <c r="E198" s="215"/>
      <c r="F198" s="135"/>
      <c r="G198" s="101"/>
      <c r="H198" s="100"/>
      <c r="I198" s="129"/>
      <c r="J198" s="111">
        <v>2644000</v>
      </c>
      <c r="K198" s="231"/>
    </row>
    <row r="199" spans="1:12" x14ac:dyDescent="0.2">
      <c r="A199" s="103">
        <v>13</v>
      </c>
      <c r="B199" s="345">
        <v>43154</v>
      </c>
      <c r="C199" s="148"/>
      <c r="D199" s="148" t="s">
        <v>187</v>
      </c>
      <c r="E199" s="215"/>
      <c r="F199" s="135"/>
      <c r="G199" s="101"/>
      <c r="H199" s="100"/>
      <c r="I199" s="129"/>
      <c r="J199" s="111">
        <v>270000</v>
      </c>
      <c r="K199" s="231"/>
    </row>
    <row r="200" spans="1:12" x14ac:dyDescent="0.2">
      <c r="A200" s="103">
        <v>14</v>
      </c>
      <c r="B200" s="345">
        <v>43172</v>
      </c>
      <c r="C200" s="148"/>
      <c r="D200" s="148" t="s">
        <v>187</v>
      </c>
      <c r="E200" s="215"/>
      <c r="F200" s="135"/>
      <c r="G200" s="101"/>
      <c r="H200" s="100"/>
      <c r="I200" s="129"/>
      <c r="J200" s="111">
        <v>462500</v>
      </c>
      <c r="K200" s="231"/>
    </row>
    <row r="201" spans="1:12" x14ac:dyDescent="0.2">
      <c r="A201" s="103">
        <v>15</v>
      </c>
      <c r="B201" s="345">
        <v>42810</v>
      </c>
      <c r="C201" s="148"/>
      <c r="D201" s="148" t="s">
        <v>196</v>
      </c>
      <c r="E201" s="215"/>
      <c r="F201" s="135"/>
      <c r="G201" s="101"/>
      <c r="H201" s="100"/>
      <c r="I201" s="129"/>
      <c r="J201" s="111">
        <v>1945000</v>
      </c>
      <c r="K201" s="231"/>
    </row>
    <row r="202" spans="1:12" x14ac:dyDescent="0.2">
      <c r="A202" s="103">
        <v>16</v>
      </c>
      <c r="B202" s="345">
        <v>42820</v>
      </c>
      <c r="C202" s="148"/>
      <c r="D202" s="148" t="s">
        <v>198</v>
      </c>
      <c r="E202" s="215"/>
      <c r="F202" s="135"/>
      <c r="G202" s="101"/>
      <c r="H202" s="100"/>
      <c r="I202" s="129"/>
      <c r="J202" s="111">
        <v>2263000</v>
      </c>
      <c r="K202" s="231"/>
    </row>
    <row r="203" spans="1:12" x14ac:dyDescent="0.2">
      <c r="A203" s="103">
        <v>17</v>
      </c>
      <c r="B203" s="345">
        <v>42820</v>
      </c>
      <c r="C203" s="148"/>
      <c r="D203" s="148" t="s">
        <v>196</v>
      </c>
      <c r="E203" s="215"/>
      <c r="F203" s="135"/>
      <c r="G203" s="101"/>
      <c r="H203" s="100"/>
      <c r="I203" s="129"/>
      <c r="J203" s="111">
        <v>2011000</v>
      </c>
      <c r="K203" s="231"/>
    </row>
    <row r="204" spans="1:12" x14ac:dyDescent="0.2">
      <c r="A204" s="103">
        <v>18</v>
      </c>
      <c r="B204" s="345">
        <v>42820</v>
      </c>
      <c r="C204" s="148"/>
      <c r="D204" s="148" t="s">
        <v>195</v>
      </c>
      <c r="E204" s="215"/>
      <c r="F204" s="135"/>
      <c r="G204" s="101"/>
      <c r="H204" s="100"/>
      <c r="I204" s="129"/>
      <c r="J204" s="111">
        <v>2011000</v>
      </c>
      <c r="K204" s="231"/>
    </row>
    <row r="205" spans="1:12" x14ac:dyDescent="0.2">
      <c r="A205" s="103">
        <v>19</v>
      </c>
      <c r="B205" s="345">
        <v>42820</v>
      </c>
      <c r="C205" s="148"/>
      <c r="D205" s="148" t="s">
        <v>197</v>
      </c>
      <c r="E205" s="215"/>
      <c r="F205" s="135"/>
      <c r="G205" s="101"/>
      <c r="H205" s="100"/>
      <c r="I205" s="129"/>
      <c r="J205" s="111">
        <v>1750000</v>
      </c>
      <c r="K205" s="231"/>
    </row>
    <row r="206" spans="1:12" x14ac:dyDescent="0.2">
      <c r="B206" s="345">
        <v>43193</v>
      </c>
      <c r="C206" s="148"/>
      <c r="D206" s="339" t="s">
        <v>216</v>
      </c>
      <c r="E206" s="215"/>
      <c r="F206" s="135">
        <v>50000000</v>
      </c>
      <c r="G206" s="101"/>
      <c r="H206" s="100"/>
      <c r="I206" s="129"/>
      <c r="J206" s="111"/>
      <c r="K206" s="214"/>
      <c r="L206" s="338"/>
    </row>
    <row r="207" spans="1:12" x14ac:dyDescent="0.2">
      <c r="A207" s="103">
        <v>20</v>
      </c>
      <c r="B207" s="345">
        <v>43194</v>
      </c>
      <c r="C207" s="148"/>
      <c r="D207" s="148" t="s">
        <v>158</v>
      </c>
      <c r="E207" s="215"/>
      <c r="F207" s="135"/>
      <c r="G207" s="101"/>
      <c r="H207" s="100"/>
      <c r="I207" s="129"/>
      <c r="J207" s="111">
        <v>313000</v>
      </c>
      <c r="K207" s="214"/>
      <c r="L207" s="102"/>
    </row>
    <row r="208" spans="1:12" x14ac:dyDescent="0.2">
      <c r="A208" s="103">
        <v>21</v>
      </c>
      <c r="B208" s="345">
        <v>43194</v>
      </c>
      <c r="C208" s="148"/>
      <c r="D208" s="148" t="s">
        <v>187</v>
      </c>
      <c r="E208" s="215"/>
      <c r="F208" s="135"/>
      <c r="G208" s="101"/>
      <c r="H208" s="100"/>
      <c r="I208" s="129"/>
      <c r="J208" s="111">
        <v>67500</v>
      </c>
      <c r="K208" s="214"/>
      <c r="L208" s="107"/>
    </row>
    <row r="209" spans="1:12" x14ac:dyDescent="0.2">
      <c r="A209" s="103">
        <v>22</v>
      </c>
      <c r="B209" s="345">
        <v>43195</v>
      </c>
      <c r="C209" s="148"/>
      <c r="D209" s="148" t="s">
        <v>158</v>
      </c>
      <c r="E209" s="215"/>
      <c r="F209" s="135"/>
      <c r="G209" s="101"/>
      <c r="H209" s="100"/>
      <c r="I209" s="129"/>
      <c r="J209" s="111">
        <v>1054000</v>
      </c>
      <c r="K209" s="214"/>
      <c r="L209" s="107"/>
    </row>
    <row r="210" spans="1:12" x14ac:dyDescent="0.2">
      <c r="A210" s="103">
        <v>23</v>
      </c>
      <c r="B210" s="345">
        <v>43206</v>
      </c>
      <c r="C210" s="148"/>
      <c r="D210" s="148" t="s">
        <v>198</v>
      </c>
      <c r="E210" s="215"/>
      <c r="F210" s="135"/>
      <c r="G210" s="101"/>
      <c r="H210" s="100"/>
      <c r="I210" s="129"/>
      <c r="J210" s="111">
        <v>494000</v>
      </c>
      <c r="K210" s="231"/>
    </row>
    <row r="211" spans="1:12" x14ac:dyDescent="0.2">
      <c r="A211" s="103">
        <v>24</v>
      </c>
      <c r="B211" s="345">
        <v>43206</v>
      </c>
      <c r="C211" s="148"/>
      <c r="D211" s="148" t="s">
        <v>196</v>
      </c>
      <c r="E211" s="215"/>
      <c r="F211" s="135"/>
      <c r="G211" s="101"/>
      <c r="H211" s="100"/>
      <c r="I211" s="129"/>
      <c r="J211" s="111">
        <v>438000</v>
      </c>
      <c r="K211" s="231"/>
    </row>
    <row r="212" spans="1:12" x14ac:dyDescent="0.2">
      <c r="A212" s="103">
        <v>25</v>
      </c>
      <c r="B212" s="345">
        <v>43206</v>
      </c>
      <c r="C212" s="148"/>
      <c r="D212" s="148" t="s">
        <v>195</v>
      </c>
      <c r="E212" s="215"/>
      <c r="F212" s="135"/>
      <c r="G212" s="101"/>
      <c r="H212" s="100"/>
      <c r="I212" s="129"/>
      <c r="J212" s="111">
        <v>438000</v>
      </c>
      <c r="K212" s="231"/>
    </row>
    <row r="213" spans="1:12" x14ac:dyDescent="0.2">
      <c r="A213" s="103">
        <v>26</v>
      </c>
      <c r="B213" s="345">
        <v>43206</v>
      </c>
      <c r="C213" s="148"/>
      <c r="D213" s="148" t="s">
        <v>197</v>
      </c>
      <c r="E213" s="215"/>
      <c r="F213" s="135"/>
      <c r="G213" s="101"/>
      <c r="H213" s="100"/>
      <c r="I213" s="129"/>
      <c r="J213" s="111">
        <v>380000</v>
      </c>
      <c r="K213" s="231"/>
    </row>
    <row r="214" spans="1:12" x14ac:dyDescent="0.2">
      <c r="A214" s="103">
        <v>27</v>
      </c>
      <c r="B214" s="345">
        <v>43207</v>
      </c>
      <c r="C214" s="148"/>
      <c r="D214" s="148" t="s">
        <v>222</v>
      </c>
      <c r="E214" s="215"/>
      <c r="F214" s="135"/>
      <c r="G214" s="101"/>
      <c r="H214" s="100"/>
      <c r="I214" s="129"/>
      <c r="J214" s="111">
        <v>372500</v>
      </c>
      <c r="K214" s="231"/>
    </row>
    <row r="215" spans="1:12" x14ac:dyDescent="0.2">
      <c r="A215" s="103">
        <v>28</v>
      </c>
      <c r="B215" s="345">
        <v>43215</v>
      </c>
      <c r="C215" s="148"/>
      <c r="D215" s="148" t="s">
        <v>222</v>
      </c>
      <c r="E215" s="215"/>
      <c r="F215" s="135"/>
      <c r="G215" s="101"/>
      <c r="H215" s="100"/>
      <c r="I215" s="129"/>
      <c r="J215" s="111">
        <v>129500</v>
      </c>
      <c r="K215" s="231"/>
    </row>
    <row r="216" spans="1:12" x14ac:dyDescent="0.2">
      <c r="A216" s="103">
        <v>29</v>
      </c>
      <c r="B216" s="345">
        <v>43222</v>
      </c>
      <c r="C216" s="148"/>
      <c r="D216" s="148" t="s">
        <v>158</v>
      </c>
      <c r="E216" s="215"/>
      <c r="F216" s="135"/>
      <c r="G216" s="101"/>
      <c r="H216" s="100"/>
      <c r="I216" s="129"/>
      <c r="J216" s="111">
        <v>1590000</v>
      </c>
      <c r="K216" s="231"/>
    </row>
    <row r="217" spans="1:12" x14ac:dyDescent="0.2">
      <c r="A217" s="103">
        <v>30</v>
      </c>
      <c r="B217" s="345">
        <v>43222</v>
      </c>
      <c r="C217" s="148"/>
      <c r="D217" s="148" t="s">
        <v>160</v>
      </c>
      <c r="E217" s="215"/>
      <c r="F217" s="135"/>
      <c r="G217" s="101"/>
      <c r="H217" s="100"/>
      <c r="I217" s="129"/>
      <c r="J217" s="111">
        <v>617500</v>
      </c>
      <c r="K217" s="231"/>
    </row>
    <row r="218" spans="1:12" x14ac:dyDescent="0.2">
      <c r="A218" s="103">
        <v>31</v>
      </c>
      <c r="B218" s="345">
        <v>43222</v>
      </c>
      <c r="C218" s="148"/>
      <c r="D218" s="148" t="s">
        <v>187</v>
      </c>
      <c r="E218" s="215"/>
      <c r="F218" s="135"/>
      <c r="G218" s="101"/>
      <c r="H218" s="100"/>
      <c r="I218" s="129"/>
      <c r="J218" s="111">
        <v>457500</v>
      </c>
      <c r="K218" s="231"/>
    </row>
    <row r="219" spans="1:12" x14ac:dyDescent="0.2">
      <c r="A219" s="103">
        <v>29</v>
      </c>
      <c r="B219" s="345">
        <v>43224</v>
      </c>
      <c r="C219" s="148"/>
      <c r="D219" s="148" t="s">
        <v>158</v>
      </c>
      <c r="E219" s="215"/>
      <c r="F219" s="135"/>
      <c r="G219" s="101"/>
      <c r="H219" s="100"/>
      <c r="I219" s="129"/>
      <c r="J219" s="111">
        <v>636000</v>
      </c>
      <c r="K219" s="231"/>
    </row>
    <row r="220" spans="1:12" x14ac:dyDescent="0.2">
      <c r="B220" s="345">
        <v>43231</v>
      </c>
      <c r="C220" s="148"/>
      <c r="D220" s="148" t="s">
        <v>227</v>
      </c>
      <c r="E220" s="215"/>
      <c r="F220" s="135"/>
      <c r="G220" s="101"/>
      <c r="H220" s="100"/>
      <c r="I220" s="129"/>
      <c r="J220" s="111">
        <v>1457310</v>
      </c>
      <c r="K220" s="231"/>
    </row>
    <row r="221" spans="1:12" x14ac:dyDescent="0.2">
      <c r="B221" s="345">
        <v>43231</v>
      </c>
      <c r="C221" s="148"/>
      <c r="D221" s="148" t="s">
        <v>228</v>
      </c>
      <c r="E221" s="215"/>
      <c r="F221" s="135"/>
      <c r="G221" s="101"/>
      <c r="H221" s="100"/>
      <c r="I221" s="129"/>
      <c r="J221" s="111">
        <v>1442840</v>
      </c>
      <c r="K221" s="231"/>
    </row>
    <row r="222" spans="1:12" x14ac:dyDescent="0.2">
      <c r="A222" s="103">
        <v>32</v>
      </c>
      <c r="B222" s="345">
        <v>43235</v>
      </c>
      <c r="C222" s="148"/>
      <c r="D222" s="148" t="s">
        <v>158</v>
      </c>
      <c r="E222" s="215"/>
      <c r="F222" s="135"/>
      <c r="G222" s="101"/>
      <c r="H222" s="100"/>
      <c r="I222" s="129"/>
      <c r="J222" s="111">
        <v>2724400</v>
      </c>
      <c r="K222" s="231"/>
    </row>
    <row r="223" spans="1:12" x14ac:dyDescent="0.2">
      <c r="A223" s="103">
        <v>33</v>
      </c>
      <c r="B223" s="345">
        <v>43235</v>
      </c>
      <c r="C223" s="148"/>
      <c r="D223" s="148" t="s">
        <v>197</v>
      </c>
      <c r="E223" s="215"/>
      <c r="F223" s="135"/>
      <c r="G223" s="101"/>
      <c r="H223" s="100"/>
      <c r="I223" s="129"/>
      <c r="J223" s="111">
        <v>845000</v>
      </c>
      <c r="K223" s="231"/>
    </row>
    <row r="224" spans="1:12" x14ac:dyDescent="0.2">
      <c r="A224" s="103">
        <v>34</v>
      </c>
      <c r="B224" s="345">
        <v>43235</v>
      </c>
      <c r="C224" s="148"/>
      <c r="D224" s="148" t="s">
        <v>195</v>
      </c>
      <c r="E224" s="215"/>
      <c r="F224" s="135"/>
      <c r="G224" s="101"/>
      <c r="H224" s="100"/>
      <c r="I224" s="129"/>
      <c r="J224" s="111">
        <v>946500</v>
      </c>
      <c r="K224" s="231"/>
    </row>
    <row r="225" spans="1:12" x14ac:dyDescent="0.2">
      <c r="A225" s="103">
        <v>35</v>
      </c>
      <c r="B225" s="345">
        <v>43235</v>
      </c>
      <c r="C225" s="148"/>
      <c r="D225" s="148" t="s">
        <v>196</v>
      </c>
      <c r="E225" s="215"/>
      <c r="F225" s="135"/>
      <c r="G225" s="101"/>
      <c r="H225" s="100"/>
      <c r="I225" s="129"/>
      <c r="J225" s="111">
        <v>946500</v>
      </c>
      <c r="K225" s="231"/>
    </row>
    <row r="226" spans="1:12" x14ac:dyDescent="0.2">
      <c r="A226" s="103">
        <v>36</v>
      </c>
      <c r="B226" s="345">
        <v>43235</v>
      </c>
      <c r="C226" s="148"/>
      <c r="D226" s="148" t="s">
        <v>198</v>
      </c>
      <c r="E226" s="215"/>
      <c r="F226" s="135"/>
      <c r="G226" s="101"/>
      <c r="H226" s="100"/>
      <c r="I226" s="129"/>
      <c r="J226" s="111">
        <v>1044500</v>
      </c>
      <c r="K226" s="231"/>
    </row>
    <row r="227" spans="1:12" x14ac:dyDescent="0.2">
      <c r="A227" s="103">
        <v>37</v>
      </c>
      <c r="B227" s="345">
        <v>43241</v>
      </c>
      <c r="C227" s="148"/>
      <c r="D227" s="148" t="s">
        <v>158</v>
      </c>
      <c r="E227" s="215"/>
      <c r="F227" s="135"/>
      <c r="G227" s="101"/>
      <c r="H227" s="100"/>
      <c r="I227" s="129"/>
      <c r="J227" s="111">
        <v>636000</v>
      </c>
      <c r="K227" s="231"/>
    </row>
    <row r="228" spans="1:12" x14ac:dyDescent="0.2">
      <c r="A228" s="103">
        <v>38</v>
      </c>
      <c r="B228" s="345">
        <v>43241</v>
      </c>
      <c r="C228" s="148"/>
      <c r="D228" s="148" t="s">
        <v>187</v>
      </c>
      <c r="E228" s="215"/>
      <c r="F228" s="135"/>
      <c r="G228" s="101"/>
      <c r="H228" s="100"/>
      <c r="I228" s="129"/>
      <c r="J228" s="111">
        <v>275000</v>
      </c>
      <c r="K228" s="231"/>
      <c r="L228" s="116">
        <f>K186</f>
        <v>36423097</v>
      </c>
    </row>
    <row r="229" spans="1:12" x14ac:dyDescent="0.2">
      <c r="A229" s="103">
        <v>39</v>
      </c>
      <c r="B229" s="345">
        <v>43249</v>
      </c>
      <c r="C229" s="148"/>
      <c r="D229" s="148" t="s">
        <v>235</v>
      </c>
      <c r="E229" s="215"/>
      <c r="F229" s="135"/>
      <c r="G229" s="101"/>
      <c r="H229" s="100"/>
      <c r="I229" s="129"/>
      <c r="J229" s="111">
        <v>1044500</v>
      </c>
      <c r="K229" s="231"/>
    </row>
    <row r="230" spans="1:12" x14ac:dyDescent="0.2">
      <c r="A230" s="103">
        <v>40</v>
      </c>
      <c r="B230" s="345">
        <v>43249</v>
      </c>
      <c r="C230" s="148"/>
      <c r="D230" s="148" t="s">
        <v>160</v>
      </c>
      <c r="E230" s="215"/>
      <c r="F230" s="135"/>
      <c r="G230" s="101"/>
      <c r="H230" s="100"/>
      <c r="I230" s="129"/>
      <c r="J230" s="111">
        <v>1044500</v>
      </c>
      <c r="K230" s="231"/>
    </row>
    <row r="231" spans="1:12" x14ac:dyDescent="0.2">
      <c r="A231" s="103">
        <v>41</v>
      </c>
      <c r="B231" s="345">
        <v>43249</v>
      </c>
      <c r="C231" s="148"/>
      <c r="D231" s="148" t="s">
        <v>222</v>
      </c>
      <c r="E231" s="215"/>
      <c r="F231" s="135"/>
      <c r="G231" s="101"/>
      <c r="H231" s="100"/>
      <c r="I231" s="129"/>
      <c r="J231" s="111">
        <v>946500</v>
      </c>
      <c r="K231" s="231"/>
    </row>
    <row r="232" spans="1:12" x14ac:dyDescent="0.2">
      <c r="A232" s="103">
        <v>42</v>
      </c>
      <c r="B232" s="345">
        <v>43249</v>
      </c>
      <c r="C232" s="148"/>
      <c r="D232" s="148" t="s">
        <v>158</v>
      </c>
      <c r="E232" s="215"/>
      <c r="F232" s="135"/>
      <c r="G232" s="101"/>
      <c r="H232" s="100"/>
      <c r="I232" s="129"/>
      <c r="J232" s="111">
        <v>736000</v>
      </c>
      <c r="K232" s="231"/>
    </row>
    <row r="233" spans="1:12" x14ac:dyDescent="0.2">
      <c r="B233" s="345">
        <v>43258</v>
      </c>
      <c r="C233" s="148"/>
      <c r="D233" s="148" t="s">
        <v>238</v>
      </c>
      <c r="E233" s="215"/>
      <c r="F233" s="135"/>
      <c r="G233" s="101"/>
      <c r="H233" s="100"/>
      <c r="I233" s="129"/>
      <c r="J233" s="111">
        <v>595960</v>
      </c>
      <c r="K233" s="231"/>
    </row>
    <row r="234" spans="1:12" x14ac:dyDescent="0.2">
      <c r="B234" s="345">
        <v>43255</v>
      </c>
      <c r="C234" s="148"/>
      <c r="D234" s="148" t="s">
        <v>244</v>
      </c>
      <c r="E234" s="215"/>
      <c r="F234" s="135"/>
      <c r="G234" s="101"/>
      <c r="H234" s="100"/>
      <c r="I234" s="129"/>
      <c r="J234" s="362">
        <v>-480947</v>
      </c>
      <c r="K234" s="231"/>
    </row>
    <row r="235" spans="1:12" x14ac:dyDescent="0.2">
      <c r="A235" s="103">
        <v>43</v>
      </c>
      <c r="B235" s="345">
        <v>43259</v>
      </c>
      <c r="C235" s="148"/>
      <c r="D235" s="148" t="s">
        <v>158</v>
      </c>
      <c r="E235" s="215"/>
      <c r="F235" s="135"/>
      <c r="G235" s="101"/>
      <c r="H235" s="100"/>
      <c r="I235" s="129"/>
      <c r="J235" s="111">
        <v>3498000</v>
      </c>
      <c r="K235" s="231"/>
    </row>
    <row r="236" spans="1:12" x14ac:dyDescent="0.2">
      <c r="A236" s="103">
        <v>44</v>
      </c>
      <c r="B236" s="345">
        <v>43259</v>
      </c>
      <c r="C236" s="148"/>
      <c r="D236" s="148" t="s">
        <v>235</v>
      </c>
      <c r="E236" s="215"/>
      <c r="F236" s="135"/>
      <c r="G236" s="101"/>
      <c r="H236" s="100"/>
      <c r="I236" s="129"/>
      <c r="J236" s="111">
        <v>717500</v>
      </c>
      <c r="K236" s="231"/>
    </row>
    <row r="237" spans="1:12" x14ac:dyDescent="0.2">
      <c r="A237" s="103">
        <v>45</v>
      </c>
      <c r="B237" s="345">
        <v>43259</v>
      </c>
      <c r="C237" s="148"/>
      <c r="D237" s="148" t="s">
        <v>160</v>
      </c>
      <c r="E237" s="215"/>
      <c r="F237" s="135"/>
      <c r="G237" s="101"/>
      <c r="H237" s="100"/>
      <c r="I237" s="129"/>
      <c r="J237" s="111">
        <v>717500</v>
      </c>
      <c r="K237" s="231"/>
    </row>
    <row r="238" spans="1:12" x14ac:dyDescent="0.2">
      <c r="A238" s="103">
        <v>46</v>
      </c>
      <c r="B238" s="345">
        <v>43295</v>
      </c>
      <c r="C238" s="148"/>
      <c r="D238" s="148" t="s">
        <v>187</v>
      </c>
      <c r="E238" s="215"/>
      <c r="F238" s="135"/>
      <c r="G238" s="101"/>
      <c r="H238" s="100"/>
      <c r="I238" s="129"/>
      <c r="J238" s="111">
        <v>472500</v>
      </c>
      <c r="K238" s="231"/>
    </row>
    <row r="239" spans="1:12" x14ac:dyDescent="0.2">
      <c r="A239" s="103">
        <v>47</v>
      </c>
      <c r="B239" s="345">
        <v>43273</v>
      </c>
      <c r="C239" s="148"/>
      <c r="D239" s="148" t="s">
        <v>158</v>
      </c>
      <c r="E239" s="215"/>
      <c r="F239" s="135"/>
      <c r="G239" s="101"/>
      <c r="H239" s="100"/>
      <c r="I239" s="129"/>
      <c r="J239" s="111">
        <v>736000</v>
      </c>
      <c r="K239" s="231"/>
    </row>
    <row r="240" spans="1:12" x14ac:dyDescent="0.2">
      <c r="A240" s="103">
        <v>48</v>
      </c>
      <c r="B240" s="345">
        <v>43285</v>
      </c>
      <c r="C240" s="148"/>
      <c r="D240" s="148" t="s">
        <v>158</v>
      </c>
      <c r="E240" s="215"/>
      <c r="F240" s="135"/>
      <c r="G240" s="101"/>
      <c r="H240" s="100"/>
      <c r="I240" s="129"/>
      <c r="J240" s="111">
        <v>1272000</v>
      </c>
      <c r="K240" s="231"/>
    </row>
    <row r="241" spans="1:11" x14ac:dyDescent="0.2">
      <c r="A241" s="103">
        <v>49</v>
      </c>
      <c r="B241" s="345">
        <v>43285</v>
      </c>
      <c r="C241" s="148"/>
      <c r="D241" s="148" t="s">
        <v>187</v>
      </c>
      <c r="E241" s="215"/>
      <c r="F241" s="135"/>
      <c r="G241" s="101"/>
      <c r="H241" s="100"/>
      <c r="I241" s="129"/>
      <c r="J241" s="111">
        <v>410000</v>
      </c>
      <c r="K241" s="231"/>
    </row>
    <row r="242" spans="1:11" x14ac:dyDescent="0.2">
      <c r="B242" s="345"/>
      <c r="C242" s="148"/>
      <c r="D242" s="148"/>
      <c r="E242" s="215"/>
      <c r="F242" s="135"/>
      <c r="G242" s="101"/>
      <c r="H242" s="100"/>
      <c r="I242" s="129"/>
      <c r="J242" s="111"/>
      <c r="K242" s="231"/>
    </row>
    <row r="243" spans="1:11" x14ac:dyDescent="0.2">
      <c r="B243" s="345"/>
      <c r="C243" s="148"/>
      <c r="D243" s="148"/>
      <c r="E243" s="215"/>
      <c r="F243" s="135"/>
      <c r="G243" s="101"/>
      <c r="H243" s="100"/>
      <c r="I243" s="129"/>
      <c r="J243" s="111"/>
      <c r="K243" s="231"/>
    </row>
    <row r="244" spans="1:11" x14ac:dyDescent="0.2">
      <c r="B244" s="345"/>
      <c r="C244" s="148"/>
      <c r="D244" s="148"/>
      <c r="E244" s="215"/>
      <c r="F244" s="135"/>
      <c r="G244" s="101"/>
      <c r="H244" s="100"/>
      <c r="I244" s="129"/>
      <c r="J244" s="111"/>
      <c r="K244" s="231"/>
    </row>
    <row r="245" spans="1:11" x14ac:dyDescent="0.2">
      <c r="B245" s="345"/>
      <c r="C245" s="148"/>
      <c r="D245" s="148"/>
      <c r="E245" s="215"/>
      <c r="F245" s="135"/>
      <c r="G245" s="101"/>
      <c r="H245" s="100"/>
      <c r="I245" s="129"/>
      <c r="J245" s="111"/>
      <c r="K245" s="231"/>
    </row>
    <row r="246" spans="1:11" x14ac:dyDescent="0.2">
      <c r="B246" s="345"/>
      <c r="C246" s="148"/>
      <c r="D246" s="148"/>
      <c r="E246" s="215"/>
      <c r="F246" s="135"/>
      <c r="G246" s="101"/>
      <c r="H246" s="100"/>
      <c r="I246" s="129"/>
      <c r="J246" s="111"/>
      <c r="K246" s="231"/>
    </row>
    <row r="247" spans="1:11" x14ac:dyDescent="0.2">
      <c r="B247" s="345"/>
      <c r="C247" s="148"/>
      <c r="D247" s="148"/>
      <c r="E247" s="215"/>
      <c r="F247" s="135"/>
      <c r="G247" s="101"/>
      <c r="H247" s="100"/>
      <c r="I247" s="129"/>
      <c r="J247" s="111"/>
      <c r="K247" s="231"/>
    </row>
    <row r="248" spans="1:11" x14ac:dyDescent="0.2">
      <c r="B248" s="345"/>
      <c r="C248" s="148"/>
      <c r="D248" s="148"/>
      <c r="E248" s="215"/>
      <c r="F248" s="135"/>
      <c r="G248" s="101"/>
      <c r="H248" s="100"/>
      <c r="I248" s="129"/>
      <c r="J248" s="111"/>
      <c r="K248" s="231"/>
    </row>
    <row r="249" spans="1:11" x14ac:dyDescent="0.2">
      <c r="B249" s="345"/>
      <c r="C249" s="148"/>
      <c r="D249" s="148"/>
      <c r="E249" s="215"/>
      <c r="F249" s="135"/>
      <c r="G249" s="101"/>
      <c r="H249" s="100"/>
      <c r="I249" s="129"/>
      <c r="J249" s="111"/>
      <c r="K249" s="231"/>
    </row>
    <row r="250" spans="1:11" x14ac:dyDescent="0.2">
      <c r="B250" s="345"/>
      <c r="C250" s="148"/>
      <c r="D250" s="148"/>
      <c r="E250" s="215"/>
      <c r="F250" s="135"/>
      <c r="G250" s="101"/>
      <c r="H250" s="100"/>
      <c r="I250" s="129"/>
      <c r="J250" s="111"/>
      <c r="K250" s="231"/>
    </row>
    <row r="251" spans="1:11" x14ac:dyDescent="0.2">
      <c r="B251" s="345"/>
      <c r="C251" s="148"/>
      <c r="D251" s="148"/>
      <c r="E251" s="215"/>
      <c r="F251" s="135"/>
      <c r="G251" s="101"/>
      <c r="H251" s="100"/>
      <c r="I251" s="129"/>
      <c r="J251" s="111"/>
      <c r="K251" s="231"/>
    </row>
    <row r="252" spans="1:11" x14ac:dyDescent="0.2">
      <c r="B252" s="345"/>
      <c r="C252" s="148"/>
      <c r="D252" s="148"/>
      <c r="E252" s="215"/>
      <c r="F252" s="135"/>
      <c r="G252" s="101"/>
      <c r="H252" s="100"/>
      <c r="I252" s="129"/>
      <c r="J252" s="111"/>
      <c r="K252" s="231"/>
    </row>
    <row r="253" spans="1:11" x14ac:dyDescent="0.2">
      <c r="B253" s="345"/>
      <c r="C253" s="148"/>
      <c r="D253" s="148"/>
      <c r="E253" s="215"/>
      <c r="F253" s="135"/>
      <c r="G253" s="101"/>
      <c r="H253" s="100"/>
      <c r="I253" s="129"/>
      <c r="J253" s="111"/>
      <c r="K253" s="231"/>
    </row>
    <row r="254" spans="1:11" x14ac:dyDescent="0.2">
      <c r="B254" s="345"/>
      <c r="C254" s="148"/>
      <c r="D254" s="148"/>
      <c r="E254" s="215"/>
      <c r="F254" s="135"/>
      <c r="G254" s="101"/>
      <c r="H254" s="100"/>
      <c r="I254" s="129"/>
      <c r="J254" s="111"/>
      <c r="K254" s="231"/>
    </row>
    <row r="255" spans="1:11" x14ac:dyDescent="0.2">
      <c r="B255" s="345"/>
      <c r="C255" s="148"/>
      <c r="D255" s="148"/>
      <c r="E255" s="215"/>
      <c r="F255" s="135"/>
      <c r="G255" s="101"/>
      <c r="H255" s="100"/>
      <c r="I255" s="129"/>
      <c r="J255" s="111"/>
      <c r="K255" s="231"/>
    </row>
    <row r="256" spans="1:11" ht="15.75" x14ac:dyDescent="0.25">
      <c r="B256" s="343"/>
      <c r="C256" s="236" t="s">
        <v>62</v>
      </c>
      <c r="D256" s="236" t="s">
        <v>63</v>
      </c>
      <c r="E256" s="238">
        <v>1200000</v>
      </c>
      <c r="F256" s="239">
        <f>SUM(F257:F275)</f>
        <v>0</v>
      </c>
      <c r="G256" s="239">
        <f>SUM(G257:G275)</f>
        <v>0</v>
      </c>
      <c r="H256" s="239">
        <f>SUM(H257:H275)</f>
        <v>0</v>
      </c>
      <c r="I256" s="240">
        <f>E256+F256+G256-H256</f>
        <v>1200000</v>
      </c>
      <c r="J256" s="239">
        <f>SUM(J257:J275)</f>
        <v>534100</v>
      </c>
      <c r="K256" s="242">
        <f>I256-J256</f>
        <v>665900</v>
      </c>
    </row>
    <row r="257" spans="2:11" x14ac:dyDescent="0.2">
      <c r="B257" s="345">
        <v>43131</v>
      </c>
      <c r="C257" s="148"/>
      <c r="D257" s="148" t="s">
        <v>186</v>
      </c>
      <c r="E257" s="215"/>
      <c r="F257" s="216"/>
      <c r="G257" s="99"/>
      <c r="H257" s="100"/>
      <c r="I257" s="129"/>
      <c r="J257" s="111">
        <v>200000</v>
      </c>
      <c r="K257" s="231"/>
    </row>
    <row r="258" spans="2:11" x14ac:dyDescent="0.2">
      <c r="B258" s="345">
        <v>43194</v>
      </c>
      <c r="C258" s="148"/>
      <c r="D258" s="148" t="s">
        <v>213</v>
      </c>
      <c r="E258" s="215"/>
      <c r="F258" s="216"/>
      <c r="G258" s="99"/>
      <c r="H258" s="100"/>
      <c r="I258" s="129"/>
      <c r="J258" s="103">
        <v>167000</v>
      </c>
      <c r="K258" s="231"/>
    </row>
    <row r="259" spans="2:11" x14ac:dyDescent="0.2">
      <c r="B259" s="345">
        <v>43224</v>
      </c>
      <c r="C259" s="148"/>
      <c r="D259" s="148" t="s">
        <v>213</v>
      </c>
      <c r="E259" s="215"/>
      <c r="F259" s="216"/>
      <c r="G259" s="99"/>
      <c r="H259" s="100"/>
      <c r="I259" s="129"/>
      <c r="J259" s="111">
        <v>167100</v>
      </c>
      <c r="K259" s="231"/>
    </row>
    <row r="260" spans="2:11" x14ac:dyDescent="0.2">
      <c r="B260" s="345"/>
      <c r="C260" s="148"/>
      <c r="D260" s="148"/>
      <c r="E260" s="215"/>
      <c r="F260" s="216"/>
      <c r="G260" s="99"/>
      <c r="H260" s="100"/>
      <c r="I260" s="129"/>
      <c r="J260" s="111"/>
      <c r="K260" s="231"/>
    </row>
    <row r="261" spans="2:11" x14ac:dyDescent="0.2">
      <c r="B261" s="345"/>
      <c r="C261" s="148"/>
      <c r="D261" s="148"/>
      <c r="E261" s="215"/>
      <c r="F261" s="216"/>
      <c r="G261" s="99"/>
      <c r="H261" s="100"/>
      <c r="I261" s="129"/>
      <c r="J261" s="111"/>
      <c r="K261" s="231"/>
    </row>
    <row r="262" spans="2:11" x14ac:dyDescent="0.2">
      <c r="B262" s="345"/>
      <c r="C262" s="148"/>
      <c r="D262" s="148"/>
      <c r="E262" s="215"/>
      <c r="F262" s="216"/>
      <c r="G262" s="99"/>
      <c r="H262" s="100"/>
      <c r="I262" s="129"/>
      <c r="J262" s="111"/>
      <c r="K262" s="231"/>
    </row>
    <row r="263" spans="2:11" x14ac:dyDescent="0.2">
      <c r="B263" s="345"/>
      <c r="C263" s="148"/>
      <c r="D263" s="148"/>
      <c r="E263" s="215"/>
      <c r="F263" s="216"/>
      <c r="G263" s="99"/>
      <c r="H263" s="100"/>
      <c r="I263" s="129"/>
      <c r="J263" s="111"/>
      <c r="K263" s="231"/>
    </row>
    <row r="264" spans="2:11" x14ac:dyDescent="0.2">
      <c r="B264" s="345"/>
      <c r="C264" s="148"/>
      <c r="D264" s="148"/>
      <c r="E264" s="215"/>
      <c r="F264" s="216"/>
      <c r="G264" s="99"/>
      <c r="H264" s="100"/>
      <c r="I264" s="129"/>
      <c r="J264" s="111"/>
      <c r="K264" s="231"/>
    </row>
    <row r="265" spans="2:11" x14ac:dyDescent="0.2">
      <c r="B265" s="345"/>
      <c r="C265" s="148"/>
      <c r="D265" s="148"/>
      <c r="E265" s="215"/>
      <c r="F265" s="216"/>
      <c r="G265" s="99"/>
      <c r="H265" s="100"/>
      <c r="I265" s="129"/>
      <c r="J265" s="111"/>
      <c r="K265" s="231"/>
    </row>
    <row r="266" spans="2:11" x14ac:dyDescent="0.2">
      <c r="B266" s="345"/>
      <c r="C266" s="148"/>
      <c r="D266" s="148"/>
      <c r="E266" s="215"/>
      <c r="F266" s="216"/>
      <c r="G266" s="99"/>
      <c r="H266" s="100"/>
      <c r="I266" s="129"/>
      <c r="J266" s="111"/>
      <c r="K266" s="231"/>
    </row>
    <row r="267" spans="2:11" x14ac:dyDescent="0.2">
      <c r="B267" s="345"/>
      <c r="C267" s="148"/>
      <c r="D267" s="148"/>
      <c r="E267" s="215"/>
      <c r="F267" s="216"/>
      <c r="G267" s="99"/>
      <c r="H267" s="100"/>
      <c r="I267" s="129"/>
      <c r="J267" s="111"/>
      <c r="K267" s="231"/>
    </row>
    <row r="268" spans="2:11" x14ac:dyDescent="0.2">
      <c r="B268" s="345"/>
      <c r="C268" s="148"/>
      <c r="D268" s="148"/>
      <c r="E268" s="215"/>
      <c r="F268" s="216"/>
      <c r="G268" s="99"/>
      <c r="H268" s="100"/>
      <c r="I268" s="129"/>
      <c r="J268" s="111"/>
      <c r="K268" s="231"/>
    </row>
    <row r="269" spans="2:11" x14ac:dyDescent="0.2">
      <c r="B269" s="345"/>
      <c r="C269" s="148"/>
      <c r="D269" s="148"/>
      <c r="E269" s="215"/>
      <c r="F269" s="216"/>
      <c r="G269" s="99"/>
      <c r="H269" s="100"/>
      <c r="I269" s="129"/>
      <c r="J269" s="111"/>
      <c r="K269" s="231"/>
    </row>
    <row r="270" spans="2:11" x14ac:dyDescent="0.2">
      <c r="B270" s="345"/>
      <c r="C270" s="148"/>
      <c r="D270" s="148"/>
      <c r="E270" s="215"/>
      <c r="F270" s="216"/>
      <c r="G270" s="99"/>
      <c r="H270" s="100"/>
      <c r="I270" s="129"/>
      <c r="J270" s="111"/>
      <c r="K270" s="231"/>
    </row>
    <row r="271" spans="2:11" x14ac:dyDescent="0.2">
      <c r="B271" s="345"/>
      <c r="C271" s="148"/>
      <c r="D271" s="148"/>
      <c r="E271" s="215"/>
      <c r="F271" s="216"/>
      <c r="G271" s="99"/>
      <c r="H271" s="100"/>
      <c r="I271" s="129"/>
      <c r="J271" s="111"/>
      <c r="K271" s="231"/>
    </row>
    <row r="272" spans="2:11" x14ac:dyDescent="0.2">
      <c r="B272" s="345"/>
      <c r="C272" s="148"/>
      <c r="D272" s="148"/>
      <c r="E272" s="215"/>
      <c r="F272" s="216"/>
      <c r="G272" s="99"/>
      <c r="H272" s="100"/>
      <c r="I272" s="129"/>
      <c r="J272" s="111"/>
      <c r="K272" s="231"/>
    </row>
    <row r="273" spans="2:12" x14ac:dyDescent="0.2">
      <c r="B273" s="345"/>
      <c r="C273" s="148"/>
      <c r="D273" s="148"/>
      <c r="E273" s="215"/>
      <c r="F273" s="216"/>
      <c r="G273" s="99"/>
      <c r="H273" s="100"/>
      <c r="I273" s="129"/>
      <c r="J273" s="111"/>
      <c r="K273" s="231"/>
    </row>
    <row r="274" spans="2:12" x14ac:dyDescent="0.2">
      <c r="B274" s="345"/>
      <c r="C274" s="148"/>
      <c r="D274" s="148"/>
      <c r="E274" s="215"/>
      <c r="F274" s="216"/>
      <c r="G274" s="99"/>
      <c r="H274" s="100"/>
      <c r="I274" s="129"/>
      <c r="J274" s="111"/>
      <c r="K274" s="231"/>
    </row>
    <row r="275" spans="2:12" x14ac:dyDescent="0.2">
      <c r="B275" s="345"/>
      <c r="C275" s="148"/>
      <c r="D275" s="148"/>
      <c r="E275" s="215"/>
      <c r="F275" s="216"/>
      <c r="G275" s="99"/>
      <c r="H275" s="100"/>
      <c r="I275" s="129"/>
      <c r="J275" s="111"/>
      <c r="K275" s="231"/>
    </row>
    <row r="276" spans="2:12" ht="15.75" x14ac:dyDescent="0.25">
      <c r="B276" s="343"/>
      <c r="C276" s="236" t="s">
        <v>64</v>
      </c>
      <c r="D276" s="236" t="s">
        <v>65</v>
      </c>
      <c r="E276" s="238">
        <f>900000*12</f>
        <v>10800000</v>
      </c>
      <c r="F276" s="239">
        <f>SUM(F277:F290)</f>
        <v>0</v>
      </c>
      <c r="G276" s="239">
        <f>SUM(G277:G290)</f>
        <v>0</v>
      </c>
      <c r="H276" s="239">
        <f>SUM(H277:H290)</f>
        <v>0</v>
      </c>
      <c r="I276" s="240">
        <f>E276+F276+G276-H276</f>
        <v>10800000</v>
      </c>
      <c r="J276" s="239">
        <f>SUM(J277:J290)</f>
        <v>4307200</v>
      </c>
      <c r="K276" s="242">
        <f>I276-J276</f>
        <v>6492800</v>
      </c>
    </row>
    <row r="277" spans="2:12" x14ac:dyDescent="0.2">
      <c r="B277" s="345"/>
      <c r="C277" s="148"/>
      <c r="D277" s="148" t="s">
        <v>125</v>
      </c>
      <c r="E277" s="215"/>
      <c r="F277" s="216"/>
      <c r="G277" s="99"/>
      <c r="H277" s="100"/>
      <c r="I277" s="129"/>
      <c r="J277" s="111">
        <v>720300</v>
      </c>
      <c r="K277" s="231"/>
    </row>
    <row r="278" spans="2:12" x14ac:dyDescent="0.2">
      <c r="B278" s="345">
        <v>43147</v>
      </c>
      <c r="C278" s="148"/>
      <c r="D278" s="148" t="s">
        <v>126</v>
      </c>
      <c r="E278" s="215"/>
      <c r="F278" s="216"/>
      <c r="G278" s="99"/>
      <c r="H278" s="100"/>
      <c r="I278" s="129"/>
      <c r="J278" s="111">
        <v>693300</v>
      </c>
      <c r="K278" s="231"/>
    </row>
    <row r="279" spans="2:12" x14ac:dyDescent="0.2">
      <c r="B279" s="345">
        <v>43179</v>
      </c>
      <c r="C279" s="148"/>
      <c r="D279" s="148" t="s">
        <v>127</v>
      </c>
      <c r="E279" s="215"/>
      <c r="F279" s="216"/>
      <c r="G279" s="99"/>
      <c r="H279" s="100"/>
      <c r="I279" s="129"/>
      <c r="J279" s="111">
        <v>920100</v>
      </c>
      <c r="K279" s="231"/>
    </row>
    <row r="280" spans="2:12" x14ac:dyDescent="0.2">
      <c r="B280" s="345">
        <v>43206</v>
      </c>
      <c r="C280" s="148"/>
      <c r="D280" s="148" t="s">
        <v>128</v>
      </c>
      <c r="E280" s="215"/>
      <c r="F280" s="216"/>
      <c r="G280" s="99"/>
      <c r="H280" s="100"/>
      <c r="I280" s="129"/>
      <c r="J280" s="111">
        <v>808700</v>
      </c>
      <c r="K280" s="231"/>
      <c r="L280" s="111"/>
    </row>
    <row r="281" spans="2:12" x14ac:dyDescent="0.2">
      <c r="B281" s="345">
        <v>43237</v>
      </c>
      <c r="C281" s="148"/>
      <c r="D281" s="148" t="s">
        <v>129</v>
      </c>
      <c r="E281" s="215"/>
      <c r="F281" s="216"/>
      <c r="G281" s="99"/>
      <c r="H281" s="100"/>
      <c r="I281" s="129"/>
      <c r="J281" s="111">
        <v>583800</v>
      </c>
      <c r="K281" s="231"/>
    </row>
    <row r="282" spans="2:12" x14ac:dyDescent="0.2">
      <c r="B282" s="345" t="s">
        <v>239</v>
      </c>
      <c r="C282" s="148"/>
      <c r="D282" s="148" t="s">
        <v>130</v>
      </c>
      <c r="E282" s="215"/>
      <c r="F282" s="216"/>
      <c r="G282" s="99"/>
      <c r="H282" s="100"/>
      <c r="I282" s="129"/>
      <c r="J282" s="111">
        <v>581000</v>
      </c>
      <c r="K282" s="231"/>
    </row>
    <row r="283" spans="2:12" x14ac:dyDescent="0.2">
      <c r="B283" s="345"/>
      <c r="C283" s="148"/>
      <c r="D283" s="148" t="s">
        <v>131</v>
      </c>
      <c r="E283" s="215"/>
      <c r="F283" s="216"/>
      <c r="G283" s="99"/>
      <c r="H283" s="100"/>
      <c r="I283" s="129"/>
      <c r="J283" s="111"/>
      <c r="K283" s="231"/>
    </row>
    <row r="284" spans="2:12" x14ac:dyDescent="0.2">
      <c r="B284" s="345"/>
      <c r="C284" s="148"/>
      <c r="D284" s="148" t="s">
        <v>132</v>
      </c>
      <c r="E284" s="215"/>
      <c r="F284" s="216"/>
      <c r="G284" s="99"/>
      <c r="H284" s="100"/>
      <c r="I284" s="129"/>
      <c r="J284" s="111"/>
      <c r="K284" s="231"/>
    </row>
    <row r="285" spans="2:12" x14ac:dyDescent="0.2">
      <c r="B285" s="345"/>
      <c r="C285" s="148"/>
      <c r="D285" s="148" t="s">
        <v>133</v>
      </c>
      <c r="E285" s="215"/>
      <c r="F285" s="216"/>
      <c r="G285" s="99"/>
      <c r="H285" s="100"/>
      <c r="I285" s="129"/>
      <c r="J285" s="111"/>
      <c r="K285" s="231"/>
    </row>
    <row r="286" spans="2:12" x14ac:dyDescent="0.2">
      <c r="B286" s="345"/>
      <c r="C286" s="148"/>
      <c r="D286" s="148" t="s">
        <v>134</v>
      </c>
      <c r="E286" s="215"/>
      <c r="F286" s="216"/>
      <c r="G286" s="99"/>
      <c r="H286" s="100"/>
      <c r="I286" s="129"/>
      <c r="J286" s="111"/>
      <c r="K286" s="231"/>
    </row>
    <row r="287" spans="2:12" x14ac:dyDescent="0.2">
      <c r="B287" s="345"/>
      <c r="C287" s="148"/>
      <c r="D287" s="148" t="s">
        <v>135</v>
      </c>
      <c r="E287" s="215"/>
      <c r="F287" s="216"/>
      <c r="G287" s="99"/>
      <c r="H287" s="100"/>
      <c r="I287" s="129"/>
      <c r="J287" s="111"/>
      <c r="K287" s="231"/>
    </row>
    <row r="288" spans="2:12" x14ac:dyDescent="0.2">
      <c r="B288" s="345"/>
      <c r="C288" s="148"/>
      <c r="D288" s="148" t="s">
        <v>136</v>
      </c>
      <c r="E288" s="215"/>
      <c r="F288" s="216"/>
      <c r="G288" s="99"/>
      <c r="H288" s="100"/>
      <c r="I288" s="129"/>
      <c r="J288" s="111"/>
      <c r="K288" s="231"/>
    </row>
    <row r="289" spans="2:12" x14ac:dyDescent="0.2">
      <c r="B289" s="345"/>
      <c r="C289" s="148"/>
      <c r="D289" s="148"/>
      <c r="E289" s="215"/>
      <c r="F289" s="216"/>
      <c r="G289" s="99"/>
      <c r="H289" s="100"/>
      <c r="I289" s="129"/>
      <c r="J289" s="111"/>
      <c r="K289" s="231"/>
    </row>
    <row r="290" spans="2:12" x14ac:dyDescent="0.2">
      <c r="B290" s="345"/>
      <c r="C290" s="148"/>
      <c r="D290" s="148"/>
      <c r="E290" s="215"/>
      <c r="F290" s="216"/>
      <c r="G290" s="99"/>
      <c r="H290" s="100"/>
      <c r="I290" s="129"/>
      <c r="J290" s="111"/>
      <c r="K290" s="231"/>
    </row>
    <row r="291" spans="2:12" ht="15" x14ac:dyDescent="0.25">
      <c r="B291" s="354"/>
      <c r="C291" s="269" t="s">
        <v>66</v>
      </c>
      <c r="D291" s="269" t="s">
        <v>67</v>
      </c>
      <c r="E291" s="270">
        <f>550000*12</f>
        <v>6600000</v>
      </c>
      <c r="F291" s="271">
        <f>SUM(F292:F316)</f>
        <v>0</v>
      </c>
      <c r="G291" s="271">
        <f>SUM(G292:G316)</f>
        <v>0</v>
      </c>
      <c r="H291" s="271">
        <f>SUM(H292:H316)</f>
        <v>0</v>
      </c>
      <c r="I291" s="272">
        <f>E291+F291+G291-H291</f>
        <v>6600000</v>
      </c>
      <c r="J291" s="271">
        <f>SUM(J292:J316)</f>
        <v>2686842</v>
      </c>
      <c r="K291" s="277">
        <f>I291-J291</f>
        <v>3913158</v>
      </c>
    </row>
    <row r="292" spans="2:12" x14ac:dyDescent="0.2">
      <c r="B292" s="345">
        <v>43115</v>
      </c>
      <c r="C292" s="148"/>
      <c r="D292" s="148" t="s">
        <v>173</v>
      </c>
      <c r="E292" s="215"/>
      <c r="F292" s="216"/>
      <c r="G292" s="101"/>
      <c r="H292" s="100"/>
      <c r="I292" s="129"/>
      <c r="J292" s="111">
        <v>188767</v>
      </c>
      <c r="K292" s="231"/>
    </row>
    <row r="293" spans="2:12" x14ac:dyDescent="0.2">
      <c r="B293" s="345">
        <v>42751</v>
      </c>
      <c r="C293" s="148"/>
      <c r="D293" s="148" t="s">
        <v>176</v>
      </c>
      <c r="E293" s="215"/>
      <c r="F293" s="216"/>
      <c r="G293" s="101"/>
      <c r="H293" s="100"/>
      <c r="I293" s="129"/>
      <c r="J293" s="111">
        <v>96900</v>
      </c>
      <c r="K293" s="231"/>
    </row>
    <row r="294" spans="2:12" x14ac:dyDescent="0.2">
      <c r="B294" s="355">
        <v>43132</v>
      </c>
      <c r="C294" s="148"/>
      <c r="D294" s="148" t="s">
        <v>192</v>
      </c>
      <c r="E294" s="215"/>
      <c r="F294" s="216"/>
      <c r="G294" s="101"/>
      <c r="H294" s="100"/>
      <c r="I294" s="129"/>
      <c r="J294" s="111">
        <v>250000</v>
      </c>
      <c r="K294" s="231"/>
    </row>
    <row r="295" spans="2:12" x14ac:dyDescent="0.2">
      <c r="B295" s="345">
        <v>43146</v>
      </c>
      <c r="C295" s="148"/>
      <c r="D295" s="148" t="s">
        <v>173</v>
      </c>
      <c r="E295" s="215"/>
      <c r="F295" s="216"/>
      <c r="G295" s="101"/>
      <c r="H295" s="100"/>
      <c r="I295" s="129"/>
      <c r="J295" s="111">
        <v>182983</v>
      </c>
      <c r="K295" s="231"/>
    </row>
    <row r="296" spans="2:12" x14ac:dyDescent="0.2">
      <c r="B296" s="345">
        <v>43147</v>
      </c>
      <c r="C296" s="148"/>
      <c r="D296" s="148" t="s">
        <v>176</v>
      </c>
      <c r="E296" s="215"/>
      <c r="F296" s="216"/>
      <c r="G296" s="101"/>
      <c r="H296" s="100"/>
      <c r="I296" s="129"/>
      <c r="J296" s="111">
        <v>96900</v>
      </c>
      <c r="K296" s="231"/>
    </row>
    <row r="297" spans="2:12" x14ac:dyDescent="0.2">
      <c r="B297" s="345">
        <v>43150</v>
      </c>
      <c r="C297" s="148"/>
      <c r="D297" s="148" t="s">
        <v>192</v>
      </c>
      <c r="E297" s="215"/>
      <c r="F297" s="216"/>
      <c r="G297" s="101"/>
      <c r="H297" s="100"/>
      <c r="I297" s="129"/>
      <c r="J297" s="111">
        <v>250000</v>
      </c>
      <c r="K297" s="231"/>
    </row>
    <row r="298" spans="2:12" x14ac:dyDescent="0.2">
      <c r="B298" s="345">
        <v>43166</v>
      </c>
      <c r="C298" s="148"/>
      <c r="D298" s="148" t="s">
        <v>176</v>
      </c>
      <c r="E298" s="215"/>
      <c r="F298" s="216"/>
      <c r="G298" s="101"/>
      <c r="H298" s="100"/>
      <c r="I298" s="129"/>
      <c r="J298" s="111">
        <v>96900</v>
      </c>
      <c r="K298" s="231"/>
    </row>
    <row r="299" spans="2:12" x14ac:dyDescent="0.2">
      <c r="B299" s="345">
        <v>43175</v>
      </c>
      <c r="C299" s="148"/>
      <c r="D299" s="148" t="s">
        <v>192</v>
      </c>
      <c r="E299" s="215"/>
      <c r="F299" s="216"/>
      <c r="G299" s="101"/>
      <c r="H299" s="100"/>
      <c r="I299" s="129"/>
      <c r="J299" s="111">
        <v>250000</v>
      </c>
      <c r="K299" s="231"/>
    </row>
    <row r="300" spans="2:12" x14ac:dyDescent="0.2">
      <c r="B300" s="345">
        <v>43193</v>
      </c>
      <c r="C300" s="148"/>
      <c r="D300" s="148" t="s">
        <v>176</v>
      </c>
      <c r="E300" s="215"/>
      <c r="F300" s="216"/>
      <c r="G300" s="101"/>
      <c r="H300" s="100"/>
      <c r="I300" s="129"/>
      <c r="J300" s="111">
        <v>96900</v>
      </c>
      <c r="K300" s="231"/>
      <c r="L300" s="111"/>
    </row>
    <row r="301" spans="2:12" x14ac:dyDescent="0.2">
      <c r="B301" s="345">
        <v>43194</v>
      </c>
      <c r="C301" s="148"/>
      <c r="D301" s="148" t="s">
        <v>173</v>
      </c>
      <c r="E301" s="215"/>
      <c r="F301" s="216"/>
      <c r="G301" s="101"/>
      <c r="H301" s="100"/>
      <c r="I301" s="129"/>
      <c r="J301" s="111">
        <v>233498</v>
      </c>
      <c r="K301" s="231"/>
      <c r="L301" s="111"/>
    </row>
    <row r="302" spans="2:12" x14ac:dyDescent="0.2">
      <c r="B302" s="345">
        <v>43220</v>
      </c>
      <c r="C302" s="148"/>
      <c r="D302" s="148" t="s">
        <v>192</v>
      </c>
      <c r="E302" s="215"/>
      <c r="F302" s="216"/>
      <c r="G302" s="101"/>
      <c r="H302" s="100"/>
      <c r="I302" s="129"/>
      <c r="J302" s="111">
        <v>250000</v>
      </c>
      <c r="K302" s="231"/>
    </row>
    <row r="303" spans="2:12" x14ac:dyDescent="0.2">
      <c r="B303" s="345">
        <v>43235</v>
      </c>
      <c r="C303" s="148"/>
      <c r="D303" s="148" t="s">
        <v>173</v>
      </c>
      <c r="E303" s="215"/>
      <c r="F303" s="216"/>
      <c r="G303" s="101"/>
      <c r="H303" s="100"/>
      <c r="I303" s="129"/>
      <c r="J303" s="111">
        <v>125097</v>
      </c>
      <c r="K303" s="231"/>
    </row>
    <row r="304" spans="2:12" x14ac:dyDescent="0.2">
      <c r="B304" s="345">
        <v>43235</v>
      </c>
      <c r="C304" s="148"/>
      <c r="D304" s="148" t="s">
        <v>176</v>
      </c>
      <c r="E304" s="215"/>
      <c r="F304" s="216"/>
      <c r="G304" s="101"/>
      <c r="H304" s="100"/>
      <c r="I304" s="129"/>
      <c r="J304" s="111">
        <v>96900</v>
      </c>
      <c r="K304" s="231"/>
    </row>
    <row r="305" spans="2:11" x14ac:dyDescent="0.2">
      <c r="B305" s="345">
        <v>43237</v>
      </c>
      <c r="C305" s="148"/>
      <c r="D305" s="148" t="s">
        <v>192</v>
      </c>
      <c r="E305" s="215"/>
      <c r="F305" s="216"/>
      <c r="G305" s="101"/>
      <c r="H305" s="100"/>
      <c r="I305" s="129"/>
      <c r="J305" s="111">
        <v>250000</v>
      </c>
      <c r="K305" s="231"/>
    </row>
    <row r="306" spans="2:11" x14ac:dyDescent="0.2">
      <c r="B306" s="345">
        <v>43257</v>
      </c>
      <c r="C306" s="148"/>
      <c r="D306" s="148" t="s">
        <v>173</v>
      </c>
      <c r="E306" s="215"/>
      <c r="F306" s="216"/>
      <c r="G306" s="101"/>
      <c r="H306" s="100"/>
      <c r="I306" s="129"/>
      <c r="J306" s="111">
        <v>125097</v>
      </c>
      <c r="K306" s="231"/>
    </row>
    <row r="307" spans="2:11" x14ac:dyDescent="0.2">
      <c r="B307" s="345">
        <v>43258</v>
      </c>
      <c r="C307" s="148"/>
      <c r="D307" s="148" t="s">
        <v>176</v>
      </c>
      <c r="E307" s="215"/>
      <c r="F307" s="216"/>
      <c r="G307" s="101"/>
      <c r="H307" s="100"/>
      <c r="I307" s="129"/>
      <c r="J307" s="111">
        <v>96900</v>
      </c>
      <c r="K307" s="231"/>
    </row>
    <row r="308" spans="2:11" x14ac:dyDescent="0.2">
      <c r="B308" s="345"/>
      <c r="C308" s="148"/>
      <c r="D308" s="148"/>
      <c r="E308" s="215"/>
      <c r="F308" s="216"/>
      <c r="G308" s="101"/>
      <c r="H308" s="100"/>
      <c r="I308" s="129"/>
      <c r="J308" s="111"/>
      <c r="K308" s="231"/>
    </row>
    <row r="309" spans="2:11" x14ac:dyDescent="0.2">
      <c r="B309" s="345"/>
      <c r="C309" s="148"/>
      <c r="D309" s="148"/>
      <c r="E309" s="215"/>
      <c r="F309" s="216"/>
      <c r="G309" s="101"/>
      <c r="H309" s="100"/>
      <c r="I309" s="129"/>
      <c r="J309" s="111"/>
      <c r="K309" s="231"/>
    </row>
    <row r="310" spans="2:11" x14ac:dyDescent="0.2">
      <c r="B310" s="345"/>
      <c r="C310" s="148"/>
      <c r="D310" s="148"/>
      <c r="E310" s="215"/>
      <c r="F310" s="216"/>
      <c r="G310" s="101"/>
      <c r="H310" s="100"/>
      <c r="I310" s="129"/>
      <c r="J310" s="111"/>
      <c r="K310" s="231"/>
    </row>
    <row r="311" spans="2:11" x14ac:dyDescent="0.2">
      <c r="B311" s="345"/>
      <c r="C311" s="148"/>
      <c r="D311" s="148"/>
      <c r="E311" s="215"/>
      <c r="F311" s="216"/>
      <c r="G311" s="101"/>
      <c r="H311" s="100"/>
      <c r="I311" s="129"/>
      <c r="J311" s="111"/>
      <c r="K311" s="231"/>
    </row>
    <row r="312" spans="2:11" x14ac:dyDescent="0.2">
      <c r="B312" s="345"/>
      <c r="C312" s="148"/>
      <c r="D312" s="148"/>
      <c r="E312" s="215"/>
      <c r="F312" s="216"/>
      <c r="G312" s="101"/>
      <c r="H312" s="100"/>
      <c r="I312" s="129"/>
      <c r="J312" s="111"/>
      <c r="K312" s="231"/>
    </row>
    <row r="313" spans="2:11" x14ac:dyDescent="0.2">
      <c r="B313" s="345"/>
      <c r="C313" s="148"/>
      <c r="D313" s="148"/>
      <c r="E313" s="215"/>
      <c r="F313" s="216"/>
      <c r="G313" s="101"/>
      <c r="H313" s="100"/>
      <c r="I313" s="129"/>
      <c r="J313" s="111"/>
      <c r="K313" s="231"/>
    </row>
    <row r="314" spans="2:11" x14ac:dyDescent="0.2">
      <c r="B314" s="345"/>
      <c r="C314" s="148"/>
      <c r="D314" s="148"/>
      <c r="E314" s="215"/>
      <c r="F314" s="216"/>
      <c r="G314" s="101"/>
      <c r="H314" s="100"/>
      <c r="I314" s="129"/>
      <c r="J314" s="111"/>
      <c r="K314" s="231"/>
    </row>
    <row r="315" spans="2:11" x14ac:dyDescent="0.2">
      <c r="B315" s="345"/>
      <c r="C315" s="148"/>
      <c r="D315" s="148"/>
      <c r="E315" s="215"/>
      <c r="F315" s="216"/>
      <c r="G315" s="101"/>
      <c r="H315" s="100"/>
      <c r="I315" s="129"/>
      <c r="J315" s="111"/>
      <c r="K315" s="231"/>
    </row>
    <row r="316" spans="2:11" x14ac:dyDescent="0.2">
      <c r="B316" s="345"/>
      <c r="C316" s="148"/>
      <c r="D316" s="148"/>
      <c r="E316" s="215"/>
      <c r="F316" s="216"/>
      <c r="G316" s="101"/>
      <c r="H316" s="100"/>
      <c r="I316" s="129"/>
      <c r="J316" s="111"/>
      <c r="K316" s="231"/>
    </row>
    <row r="317" spans="2:11" ht="15.75" x14ac:dyDescent="0.25">
      <c r="B317" s="343"/>
      <c r="C317" s="236" t="s">
        <v>68</v>
      </c>
      <c r="D317" s="236" t="s">
        <v>69</v>
      </c>
      <c r="E317" s="238">
        <f>160000*12</f>
        <v>1920000</v>
      </c>
      <c r="F317" s="239">
        <f>SUM(F318:F339)</f>
        <v>0</v>
      </c>
      <c r="G317" s="239">
        <f>SUM(G318:G339)</f>
        <v>0</v>
      </c>
      <c r="H317" s="239">
        <f>SUM(H318:H339)</f>
        <v>0</v>
      </c>
      <c r="I317" s="240">
        <f>E317+F317+G317-H317</f>
        <v>1920000</v>
      </c>
      <c r="J317" s="241">
        <f>SUM(J318:J338)</f>
        <v>694800</v>
      </c>
      <c r="K317" s="242">
        <f>I317-J317</f>
        <v>1225200</v>
      </c>
    </row>
    <row r="318" spans="2:11" x14ac:dyDescent="0.2">
      <c r="B318" s="345">
        <v>43115</v>
      </c>
      <c r="C318" s="148"/>
      <c r="D318" s="148" t="s">
        <v>174</v>
      </c>
      <c r="E318" s="215"/>
      <c r="F318" s="216"/>
      <c r="G318" s="99"/>
      <c r="H318" s="100"/>
      <c r="I318" s="129"/>
      <c r="J318" s="111">
        <v>41900</v>
      </c>
      <c r="K318" s="231"/>
    </row>
    <row r="319" spans="2:11" x14ac:dyDescent="0.2">
      <c r="B319" s="345">
        <v>43115</v>
      </c>
      <c r="C319" s="148"/>
      <c r="D319" s="148" t="s">
        <v>175</v>
      </c>
      <c r="E319" s="215"/>
      <c r="F319" s="216"/>
      <c r="G319" s="99"/>
      <c r="H319" s="100"/>
      <c r="I319" s="129"/>
      <c r="J319" s="111">
        <v>61150</v>
      </c>
      <c r="K319" s="231"/>
    </row>
    <row r="320" spans="2:11" x14ac:dyDescent="0.2">
      <c r="B320" s="345">
        <v>43150</v>
      </c>
      <c r="C320" s="148"/>
      <c r="D320" s="148" t="s">
        <v>174</v>
      </c>
      <c r="E320" s="215"/>
      <c r="F320" s="216"/>
      <c r="G320" s="99"/>
      <c r="H320" s="100"/>
      <c r="I320" s="129"/>
      <c r="J320" s="111">
        <v>69700</v>
      </c>
      <c r="K320" s="231"/>
    </row>
    <row r="321" spans="2:11" x14ac:dyDescent="0.2">
      <c r="B321" s="345">
        <v>43150</v>
      </c>
      <c r="C321" s="148"/>
      <c r="D321" s="148" t="s">
        <v>175</v>
      </c>
      <c r="E321" s="215"/>
      <c r="F321" s="216"/>
      <c r="G321" s="99"/>
      <c r="H321" s="100"/>
      <c r="I321" s="129"/>
      <c r="J321" s="111">
        <v>62590</v>
      </c>
      <c r="K321" s="231"/>
    </row>
    <row r="322" spans="2:11" x14ac:dyDescent="0.2">
      <c r="B322" s="345">
        <v>43175</v>
      </c>
      <c r="C322" s="148"/>
      <c r="D322" s="148" t="s">
        <v>175</v>
      </c>
      <c r="E322" s="215"/>
      <c r="F322" s="216"/>
      <c r="G322" s="99"/>
      <c r="H322" s="100"/>
      <c r="I322" s="129"/>
      <c r="J322" s="111">
        <v>62590</v>
      </c>
      <c r="K322" s="231"/>
    </row>
    <row r="323" spans="2:11" x14ac:dyDescent="0.2">
      <c r="B323" s="345">
        <v>43175</v>
      </c>
      <c r="C323" s="148"/>
      <c r="D323" s="148" t="s">
        <v>174</v>
      </c>
      <c r="E323" s="215"/>
      <c r="F323" s="216"/>
      <c r="G323" s="99"/>
      <c r="H323" s="100"/>
      <c r="I323" s="129"/>
      <c r="J323" s="111">
        <v>69700</v>
      </c>
      <c r="K323" s="231"/>
    </row>
    <row r="324" spans="2:11" x14ac:dyDescent="0.2">
      <c r="B324" s="345">
        <v>43201</v>
      </c>
      <c r="C324" s="148"/>
      <c r="D324" s="148" t="s">
        <v>175</v>
      </c>
      <c r="E324" s="215"/>
      <c r="F324" s="216"/>
      <c r="G324" s="99"/>
      <c r="H324" s="100"/>
      <c r="I324" s="129"/>
      <c r="J324" s="111">
        <v>62590</v>
      </c>
      <c r="K324" s="231"/>
    </row>
    <row r="325" spans="2:11" x14ac:dyDescent="0.2">
      <c r="B325" s="345">
        <v>43201</v>
      </c>
      <c r="C325" s="148"/>
      <c r="D325" s="148" t="s">
        <v>174</v>
      </c>
      <c r="E325" s="215"/>
      <c r="F325" s="216"/>
      <c r="G325" s="99"/>
      <c r="H325" s="100"/>
      <c r="I325" s="129"/>
      <c r="J325" s="111">
        <v>69700</v>
      </c>
      <c r="K325" s="231"/>
    </row>
    <row r="326" spans="2:11" x14ac:dyDescent="0.2">
      <c r="B326" s="345">
        <v>43238</v>
      </c>
      <c r="C326" s="148"/>
      <c r="D326" s="148" t="s">
        <v>175</v>
      </c>
      <c r="E326" s="215"/>
      <c r="F326" s="216"/>
      <c r="G326" s="99"/>
      <c r="H326" s="100"/>
      <c r="I326" s="129"/>
      <c r="J326" s="111">
        <v>62590</v>
      </c>
      <c r="K326" s="231"/>
    </row>
    <row r="327" spans="2:11" x14ac:dyDescent="0.2">
      <c r="B327" s="345">
        <v>43238</v>
      </c>
      <c r="C327" s="148"/>
      <c r="D327" s="148" t="s">
        <v>174</v>
      </c>
      <c r="E327" s="215"/>
      <c r="F327" s="216"/>
      <c r="G327" s="99"/>
      <c r="H327" s="100"/>
      <c r="I327" s="129"/>
      <c r="J327" s="111">
        <v>69700</v>
      </c>
      <c r="K327" s="231"/>
    </row>
    <row r="328" spans="2:11" x14ac:dyDescent="0.2">
      <c r="B328" s="345">
        <v>43265</v>
      </c>
      <c r="C328" s="148"/>
      <c r="D328" s="148" t="s">
        <v>175</v>
      </c>
      <c r="E328" s="215"/>
      <c r="F328" s="216"/>
      <c r="G328" s="99"/>
      <c r="H328" s="100"/>
      <c r="I328" s="129"/>
      <c r="J328" s="111">
        <v>62590</v>
      </c>
      <c r="K328" s="231"/>
    </row>
    <row r="329" spans="2:11" x14ac:dyDescent="0.2">
      <c r="B329" s="345"/>
      <c r="C329" s="148"/>
      <c r="D329" s="148"/>
      <c r="E329" s="215"/>
      <c r="F329" s="216"/>
      <c r="G329" s="99"/>
      <c r="H329" s="100"/>
      <c r="I329" s="129"/>
      <c r="J329" s="111"/>
      <c r="K329" s="231"/>
    </row>
    <row r="330" spans="2:11" x14ac:dyDescent="0.2">
      <c r="B330" s="345"/>
      <c r="C330" s="148"/>
      <c r="D330" s="148"/>
      <c r="E330" s="215"/>
      <c r="F330" s="216"/>
      <c r="G330" s="99"/>
      <c r="H330" s="100"/>
      <c r="I330" s="129"/>
      <c r="J330" s="111"/>
      <c r="K330" s="231"/>
    </row>
    <row r="331" spans="2:11" x14ac:dyDescent="0.2">
      <c r="B331" s="345"/>
      <c r="C331" s="148"/>
      <c r="D331" s="148"/>
      <c r="E331" s="215"/>
      <c r="F331" s="216"/>
      <c r="G331" s="99"/>
      <c r="H331" s="100"/>
      <c r="I331" s="129"/>
      <c r="J331" s="111"/>
      <c r="K331" s="231"/>
    </row>
    <row r="332" spans="2:11" x14ac:dyDescent="0.2">
      <c r="B332" s="345"/>
      <c r="C332" s="148"/>
      <c r="D332" s="148"/>
      <c r="E332" s="215"/>
      <c r="F332" s="216"/>
      <c r="G332" s="99"/>
      <c r="H332" s="100"/>
      <c r="I332" s="129"/>
      <c r="J332" s="111"/>
      <c r="K332" s="231"/>
    </row>
    <row r="333" spans="2:11" x14ac:dyDescent="0.2">
      <c r="B333" s="345"/>
      <c r="C333" s="148"/>
      <c r="D333" s="148"/>
      <c r="E333" s="215"/>
      <c r="F333" s="216"/>
      <c r="G333" s="99"/>
      <c r="H333" s="100"/>
      <c r="I333" s="129"/>
      <c r="J333" s="111"/>
      <c r="K333" s="231"/>
    </row>
    <row r="334" spans="2:11" x14ac:dyDescent="0.2">
      <c r="B334" s="345"/>
      <c r="C334" s="148"/>
      <c r="D334" s="148"/>
      <c r="E334" s="215"/>
      <c r="F334" s="216"/>
      <c r="G334" s="99"/>
      <c r="H334" s="100"/>
      <c r="I334" s="129"/>
      <c r="J334" s="111"/>
      <c r="K334" s="231"/>
    </row>
    <row r="335" spans="2:11" x14ac:dyDescent="0.2">
      <c r="B335" s="345"/>
      <c r="C335" s="148"/>
      <c r="D335" s="148"/>
      <c r="E335" s="215"/>
      <c r="F335" s="216"/>
      <c r="G335" s="99"/>
      <c r="H335" s="100"/>
      <c r="I335" s="129"/>
      <c r="J335" s="111"/>
      <c r="K335" s="231"/>
    </row>
    <row r="336" spans="2:11" x14ac:dyDescent="0.2">
      <c r="B336" s="345"/>
      <c r="C336" s="148"/>
      <c r="D336" s="148"/>
      <c r="E336" s="215"/>
      <c r="F336" s="216"/>
      <c r="G336" s="99"/>
      <c r="H336" s="100"/>
      <c r="I336" s="129"/>
      <c r="J336" s="111"/>
      <c r="K336" s="231"/>
    </row>
    <row r="337" spans="2:11" x14ac:dyDescent="0.2">
      <c r="B337" s="345"/>
      <c r="C337" s="148"/>
      <c r="D337" s="148"/>
      <c r="E337" s="215"/>
      <c r="F337" s="216"/>
      <c r="G337" s="99"/>
      <c r="H337" s="100"/>
      <c r="I337" s="129"/>
      <c r="J337" s="111"/>
      <c r="K337" s="231"/>
    </row>
    <row r="338" spans="2:11" x14ac:dyDescent="0.2">
      <c r="B338" s="345"/>
      <c r="C338" s="148"/>
      <c r="D338" s="148"/>
      <c r="E338" s="215"/>
      <c r="F338" s="216"/>
      <c r="G338" s="99"/>
      <c r="H338" s="100"/>
      <c r="I338" s="129"/>
      <c r="J338" s="111"/>
      <c r="K338" s="231"/>
    </row>
    <row r="339" spans="2:11" ht="15.75" x14ac:dyDescent="0.25">
      <c r="B339" s="343"/>
      <c r="C339" s="236" t="s">
        <v>70</v>
      </c>
      <c r="D339" s="236" t="s">
        <v>71</v>
      </c>
      <c r="E339" s="238">
        <v>1500000</v>
      </c>
      <c r="F339" s="239">
        <f>SUM(F340:F349)</f>
        <v>0</v>
      </c>
      <c r="G339" s="239">
        <f>SUM(G340:G349)</f>
        <v>0</v>
      </c>
      <c r="H339" s="239">
        <f>SUM(H340:H349)</f>
        <v>0</v>
      </c>
      <c r="I339" s="240">
        <f>E339+F339+G339-H339</f>
        <v>1500000</v>
      </c>
      <c r="J339" s="239">
        <f>SUM(J340:J349)</f>
        <v>0</v>
      </c>
      <c r="K339" s="242">
        <f>I339-J339</f>
        <v>1500000</v>
      </c>
    </row>
    <row r="340" spans="2:11" x14ac:dyDescent="0.2">
      <c r="B340" s="345"/>
      <c r="C340" s="148"/>
      <c r="D340" s="149"/>
      <c r="E340" s="215"/>
      <c r="F340" s="216"/>
      <c r="G340" s="99"/>
      <c r="H340" s="100"/>
      <c r="I340" s="129"/>
      <c r="J340" s="111"/>
      <c r="K340" s="231"/>
    </row>
    <row r="341" spans="2:11" x14ac:dyDescent="0.2">
      <c r="B341" s="345"/>
      <c r="C341" s="148"/>
      <c r="D341" s="149"/>
      <c r="E341" s="215"/>
      <c r="F341" s="216"/>
      <c r="G341" s="99"/>
      <c r="H341" s="100"/>
      <c r="I341" s="129"/>
      <c r="J341" s="111"/>
      <c r="K341" s="231"/>
    </row>
    <row r="342" spans="2:11" x14ac:dyDescent="0.2">
      <c r="B342" s="345"/>
      <c r="C342" s="148"/>
      <c r="D342" s="149"/>
      <c r="E342" s="215"/>
      <c r="F342" s="216"/>
      <c r="G342" s="99"/>
      <c r="H342" s="100"/>
      <c r="I342" s="129"/>
      <c r="J342" s="111"/>
      <c r="K342" s="231"/>
    </row>
    <row r="343" spans="2:11" x14ac:dyDescent="0.2">
      <c r="B343" s="345"/>
      <c r="C343" s="148"/>
      <c r="D343" s="149"/>
      <c r="E343" s="215"/>
      <c r="F343" s="216"/>
      <c r="G343" s="99"/>
      <c r="H343" s="100"/>
      <c r="I343" s="129"/>
      <c r="J343" s="111"/>
      <c r="K343" s="231"/>
    </row>
    <row r="344" spans="2:11" x14ac:dyDescent="0.2">
      <c r="B344" s="345"/>
      <c r="C344" s="148"/>
      <c r="D344" s="149"/>
      <c r="E344" s="215"/>
      <c r="F344" s="216"/>
      <c r="G344" s="99"/>
      <c r="H344" s="100"/>
      <c r="I344" s="129"/>
      <c r="J344" s="111"/>
      <c r="K344" s="231"/>
    </row>
    <row r="345" spans="2:11" x14ac:dyDescent="0.2">
      <c r="B345" s="345"/>
      <c r="C345" s="148"/>
      <c r="D345" s="149"/>
      <c r="E345" s="215"/>
      <c r="F345" s="216"/>
      <c r="G345" s="99"/>
      <c r="H345" s="100"/>
      <c r="I345" s="129"/>
      <c r="J345" s="111"/>
      <c r="K345" s="231"/>
    </row>
    <row r="346" spans="2:11" x14ac:dyDescent="0.2">
      <c r="B346" s="345"/>
      <c r="C346" s="148"/>
      <c r="D346" s="149"/>
      <c r="E346" s="215"/>
      <c r="F346" s="216"/>
      <c r="G346" s="99"/>
      <c r="H346" s="100"/>
      <c r="I346" s="129"/>
      <c r="J346" s="111"/>
      <c r="K346" s="231"/>
    </row>
    <row r="347" spans="2:11" x14ac:dyDescent="0.2">
      <c r="B347" s="345"/>
      <c r="C347" s="148"/>
      <c r="D347" s="149"/>
      <c r="E347" s="215"/>
      <c r="F347" s="216"/>
      <c r="G347" s="99"/>
      <c r="H347" s="100"/>
      <c r="I347" s="129"/>
      <c r="J347" s="111"/>
      <c r="K347" s="231"/>
    </row>
    <row r="348" spans="2:11" x14ac:dyDescent="0.2">
      <c r="B348" s="345"/>
      <c r="C348" s="148"/>
      <c r="D348" s="149"/>
      <c r="E348" s="215"/>
      <c r="F348" s="216"/>
      <c r="G348" s="99"/>
      <c r="H348" s="100"/>
      <c r="I348" s="129"/>
      <c r="J348" s="111"/>
      <c r="K348" s="231"/>
    </row>
    <row r="349" spans="2:11" x14ac:dyDescent="0.2">
      <c r="B349" s="345"/>
      <c r="C349" s="148"/>
      <c r="D349" s="149"/>
      <c r="E349" s="215"/>
      <c r="F349" s="216"/>
      <c r="G349" s="99"/>
      <c r="H349" s="100"/>
      <c r="I349" s="129"/>
      <c r="J349" s="111"/>
      <c r="K349" s="231"/>
    </row>
    <row r="350" spans="2:11" ht="15.75" x14ac:dyDescent="0.25">
      <c r="B350" s="343"/>
      <c r="C350" s="236" t="s">
        <v>72</v>
      </c>
      <c r="D350" s="236" t="s">
        <v>73</v>
      </c>
      <c r="E350" s="238">
        <v>0</v>
      </c>
      <c r="F350" s="239"/>
      <c r="G350" s="240"/>
      <c r="H350" s="240"/>
      <c r="I350" s="240">
        <f>E350+F350+G350-H350</f>
        <v>0</v>
      </c>
      <c r="J350" s="241"/>
      <c r="K350" s="244"/>
    </row>
    <row r="351" spans="2:11" x14ac:dyDescent="0.2">
      <c r="B351" s="345"/>
      <c r="C351" s="148"/>
      <c r="D351" s="148"/>
      <c r="E351" s="215"/>
      <c r="F351" s="216"/>
      <c r="G351" s="99"/>
      <c r="H351" s="100"/>
      <c r="I351" s="129"/>
      <c r="J351" s="111"/>
      <c r="K351" s="231"/>
    </row>
    <row r="352" spans="2:11" x14ac:dyDescent="0.2">
      <c r="B352" s="345"/>
      <c r="C352" s="148"/>
      <c r="D352" s="148"/>
      <c r="E352" s="215"/>
      <c r="F352" s="216"/>
      <c r="G352" s="99"/>
      <c r="H352" s="100"/>
      <c r="I352" s="129"/>
      <c r="J352" s="111"/>
      <c r="K352" s="231"/>
    </row>
    <row r="353" spans="2:13" x14ac:dyDescent="0.2">
      <c r="B353" s="345"/>
      <c r="C353" s="148"/>
      <c r="D353" s="148"/>
      <c r="E353" s="215"/>
      <c r="F353" s="216"/>
      <c r="G353" s="99"/>
      <c r="H353" s="100"/>
      <c r="I353" s="129"/>
      <c r="J353" s="111"/>
      <c r="K353" s="231"/>
    </row>
    <row r="354" spans="2:13" ht="15.75" x14ac:dyDescent="0.25">
      <c r="B354" s="343"/>
      <c r="C354" s="236" t="s">
        <v>74</v>
      </c>
      <c r="D354" s="236" t="s">
        <v>75</v>
      </c>
      <c r="E354" s="238">
        <v>8000000</v>
      </c>
      <c r="F354" s="239">
        <f>SUM(F355:F362)</f>
        <v>0</v>
      </c>
      <c r="G354" s="239">
        <f>SUM(G355:G362)</f>
        <v>631976</v>
      </c>
      <c r="H354" s="239">
        <f>SUM(H355:H362)</f>
        <v>0</v>
      </c>
      <c r="I354" s="240">
        <f>E354+F354+G354-H354</f>
        <v>8631976</v>
      </c>
      <c r="J354" s="239">
        <f>SUM(J355:J362)</f>
        <v>7786252</v>
      </c>
      <c r="K354" s="239">
        <f>I354-J354</f>
        <v>845724</v>
      </c>
    </row>
    <row r="355" spans="2:13" x14ac:dyDescent="0.2">
      <c r="B355" s="345">
        <v>43160</v>
      </c>
      <c r="C355" s="148"/>
      <c r="D355" s="148" t="s">
        <v>208</v>
      </c>
      <c r="E355" s="215"/>
      <c r="F355" s="216"/>
      <c r="G355" s="101"/>
      <c r="H355" s="100"/>
      <c r="I355" s="129"/>
      <c r="J355" s="111">
        <v>701976</v>
      </c>
      <c r="K355" s="231"/>
    </row>
    <row r="356" spans="2:13" x14ac:dyDescent="0.2">
      <c r="B356" s="345">
        <v>43171</v>
      </c>
      <c r="C356" s="148"/>
      <c r="D356" s="148" t="s">
        <v>217</v>
      </c>
      <c r="E356" s="215"/>
      <c r="F356" s="216"/>
      <c r="G356" s="101">
        <v>631976</v>
      </c>
      <c r="H356" s="100"/>
      <c r="I356" s="129"/>
      <c r="J356" s="111"/>
      <c r="K356" s="231"/>
      <c r="L356" s="331"/>
      <c r="M356" s="317"/>
    </row>
    <row r="357" spans="2:13" x14ac:dyDescent="0.2">
      <c r="B357" s="345">
        <v>43180</v>
      </c>
      <c r="C357" s="148"/>
      <c r="D357" s="148" t="s">
        <v>218</v>
      </c>
      <c r="E357" s="215"/>
      <c r="F357" s="216"/>
      <c r="G357" s="101"/>
      <c r="H357" s="100"/>
      <c r="I357" s="129"/>
      <c r="J357" s="111">
        <v>7084276</v>
      </c>
      <c r="K357" s="231"/>
    </row>
    <row r="358" spans="2:13" x14ac:dyDescent="0.2">
      <c r="B358" s="345"/>
      <c r="C358" s="148"/>
      <c r="D358" s="148"/>
      <c r="E358" s="215"/>
      <c r="F358" s="216"/>
      <c r="G358" s="101"/>
      <c r="H358" s="100"/>
      <c r="I358" s="129"/>
      <c r="J358" s="111"/>
      <c r="K358" s="231"/>
    </row>
    <row r="359" spans="2:13" x14ac:dyDescent="0.2">
      <c r="B359" s="345"/>
      <c r="C359" s="148"/>
      <c r="D359" s="148"/>
      <c r="E359" s="215"/>
      <c r="F359" s="216"/>
      <c r="G359" s="101"/>
      <c r="H359" s="100"/>
      <c r="I359" s="129"/>
      <c r="J359" s="111"/>
      <c r="K359" s="231"/>
    </row>
    <row r="360" spans="2:13" x14ac:dyDescent="0.2">
      <c r="B360" s="345"/>
      <c r="C360" s="148"/>
      <c r="D360" s="148"/>
      <c r="E360" s="215"/>
      <c r="F360" s="216"/>
      <c r="G360" s="101"/>
      <c r="H360" s="100"/>
      <c r="I360" s="129"/>
      <c r="J360" s="111"/>
      <c r="K360" s="231"/>
    </row>
    <row r="361" spans="2:13" x14ac:dyDescent="0.2">
      <c r="B361" s="345"/>
      <c r="C361" s="148"/>
      <c r="D361" s="148"/>
      <c r="E361" s="215"/>
      <c r="F361" s="216"/>
      <c r="G361" s="101"/>
      <c r="H361" s="100"/>
      <c r="I361" s="129"/>
      <c r="J361" s="111"/>
      <c r="K361" s="231"/>
    </row>
    <row r="362" spans="2:13" x14ac:dyDescent="0.2">
      <c r="B362" s="345"/>
      <c r="C362" s="148"/>
      <c r="D362" s="148"/>
      <c r="E362" s="215"/>
      <c r="F362" s="216"/>
      <c r="G362" s="101"/>
      <c r="H362" s="100"/>
      <c r="I362" s="129"/>
      <c r="J362" s="111"/>
      <c r="K362" s="231"/>
    </row>
    <row r="363" spans="2:13" ht="15.75" x14ac:dyDescent="0.25">
      <c r="B363" s="343"/>
      <c r="C363" s="236" t="s">
        <v>76</v>
      </c>
      <c r="D363" s="236" t="s">
        <v>77</v>
      </c>
      <c r="E363" s="238">
        <v>5000000</v>
      </c>
      <c r="F363" s="239">
        <f>SUM(F364:F372)</f>
        <v>20000000</v>
      </c>
      <c r="G363" s="239">
        <f>SUM(G364:G372)</f>
        <v>0</v>
      </c>
      <c r="H363" s="239">
        <f>SUM(H364:H372)</f>
        <v>0</v>
      </c>
      <c r="I363" s="240">
        <f>E363+F363+G363-H363</f>
        <v>25000000</v>
      </c>
      <c r="J363" s="239">
        <f>SUM(J364:J372)</f>
        <v>0</v>
      </c>
      <c r="K363" s="242">
        <f>I363-J363</f>
        <v>25000000</v>
      </c>
    </row>
    <row r="364" spans="2:13" x14ac:dyDescent="0.2">
      <c r="B364" s="345"/>
      <c r="C364" s="148"/>
      <c r="D364" s="214" t="s">
        <v>184</v>
      </c>
      <c r="E364" s="215"/>
      <c r="F364" s="216">
        <v>20000000</v>
      </c>
      <c r="G364" s="99"/>
      <c r="H364" s="100"/>
      <c r="I364" s="129"/>
      <c r="J364" s="111"/>
      <c r="K364" s="231"/>
    </row>
    <row r="365" spans="2:13" x14ac:dyDescent="0.2">
      <c r="B365" s="345"/>
      <c r="C365" s="148"/>
      <c r="D365" s="149"/>
      <c r="E365" s="215"/>
      <c r="F365" s="216"/>
      <c r="G365" s="99"/>
      <c r="H365" s="100"/>
      <c r="I365" s="129"/>
      <c r="J365" s="111"/>
      <c r="K365" s="231"/>
    </row>
    <row r="366" spans="2:13" x14ac:dyDescent="0.2">
      <c r="B366" s="345"/>
      <c r="C366" s="148"/>
      <c r="D366" s="149"/>
      <c r="E366" s="215"/>
      <c r="F366" s="216"/>
      <c r="G366" s="99"/>
      <c r="H366" s="100"/>
      <c r="I366" s="129"/>
      <c r="J366" s="111"/>
      <c r="K366" s="231"/>
    </row>
    <row r="367" spans="2:13" x14ac:dyDescent="0.2">
      <c r="B367" s="345"/>
      <c r="C367" s="148"/>
      <c r="D367" s="149"/>
      <c r="E367" s="215"/>
      <c r="F367" s="216"/>
      <c r="G367" s="99"/>
      <c r="H367" s="100"/>
      <c r="I367" s="129"/>
      <c r="J367" s="111"/>
      <c r="K367" s="231"/>
    </row>
    <row r="368" spans="2:13" x14ac:dyDescent="0.2">
      <c r="B368" s="345"/>
      <c r="C368" s="148"/>
      <c r="D368" s="149"/>
      <c r="E368" s="215"/>
      <c r="F368" s="216"/>
      <c r="G368" s="99"/>
      <c r="H368" s="100"/>
      <c r="I368" s="129"/>
      <c r="J368" s="111"/>
      <c r="K368" s="231"/>
    </row>
    <row r="369" spans="2:11" x14ac:dyDescent="0.2">
      <c r="B369" s="345"/>
      <c r="C369" s="148"/>
      <c r="D369" s="149"/>
      <c r="E369" s="215"/>
      <c r="F369" s="216"/>
      <c r="G369" s="99"/>
      <c r="H369" s="100"/>
      <c r="I369" s="129"/>
      <c r="J369" s="111"/>
      <c r="K369" s="231"/>
    </row>
    <row r="370" spans="2:11" x14ac:dyDescent="0.2">
      <c r="B370" s="345"/>
      <c r="C370" s="148"/>
      <c r="D370" s="149"/>
      <c r="E370" s="215"/>
      <c r="F370" s="216"/>
      <c r="G370" s="99"/>
      <c r="H370" s="100"/>
      <c r="I370" s="129"/>
      <c r="J370" s="111"/>
      <c r="K370" s="231"/>
    </row>
    <row r="371" spans="2:11" x14ac:dyDescent="0.2">
      <c r="B371" s="345"/>
      <c r="C371" s="148"/>
      <c r="D371" s="149"/>
      <c r="E371" s="215"/>
      <c r="F371" s="216"/>
      <c r="G371" s="99"/>
      <c r="H371" s="100"/>
      <c r="I371" s="129"/>
      <c r="J371" s="111"/>
      <c r="K371" s="231"/>
    </row>
    <row r="372" spans="2:11" x14ac:dyDescent="0.2">
      <c r="B372" s="345"/>
      <c r="C372" s="148"/>
      <c r="D372" s="149"/>
      <c r="E372" s="215"/>
      <c r="F372" s="216"/>
      <c r="G372" s="99"/>
      <c r="H372" s="100"/>
      <c r="I372" s="129"/>
      <c r="J372" s="111"/>
      <c r="K372" s="231"/>
    </row>
    <row r="373" spans="2:11" ht="15.75" x14ac:dyDescent="0.25">
      <c r="B373" s="343"/>
      <c r="C373" s="236" t="s">
        <v>78</v>
      </c>
      <c r="D373" s="236" t="s">
        <v>79</v>
      </c>
      <c r="E373" s="238">
        <v>0</v>
      </c>
      <c r="F373" s="239">
        <f>SUM(F374:F379)</f>
        <v>3000000</v>
      </c>
      <c r="G373" s="239">
        <f>SUM(G374:G379)</f>
        <v>0</v>
      </c>
      <c r="H373" s="239">
        <f>SUM(H374:H379)</f>
        <v>0</v>
      </c>
      <c r="I373" s="240">
        <f>E373+F373+G373-H373</f>
        <v>3000000</v>
      </c>
      <c r="J373" s="239">
        <f>SUM(J374:J379)</f>
        <v>500000</v>
      </c>
      <c r="K373" s="242">
        <f>I373-J373</f>
        <v>2500000</v>
      </c>
    </row>
    <row r="374" spans="2:11" x14ac:dyDescent="0.2">
      <c r="B374" s="345"/>
      <c r="C374" s="148"/>
      <c r="D374" s="214" t="s">
        <v>184</v>
      </c>
      <c r="E374" s="215"/>
      <c r="F374" s="216">
        <v>3000000</v>
      </c>
      <c r="G374" s="99"/>
      <c r="H374" s="100"/>
      <c r="I374" s="129"/>
      <c r="J374" s="111"/>
      <c r="K374" s="231"/>
    </row>
    <row r="375" spans="2:11" ht="14.25" x14ac:dyDescent="0.2">
      <c r="B375" s="345">
        <v>43235</v>
      </c>
      <c r="C375" s="148"/>
      <c r="D375" t="s">
        <v>229</v>
      </c>
      <c r="E375" s="215"/>
      <c r="F375" s="216"/>
      <c r="G375" s="99"/>
      <c r="H375" s="100"/>
      <c r="I375" s="129"/>
      <c r="J375" s="111">
        <v>500000</v>
      </c>
      <c r="K375" s="231"/>
    </row>
    <row r="376" spans="2:11" x14ac:dyDescent="0.2">
      <c r="B376" s="345"/>
      <c r="C376" s="148"/>
      <c r="D376" s="148"/>
      <c r="E376" s="215"/>
      <c r="F376" s="216"/>
      <c r="G376" s="99"/>
      <c r="H376" s="100"/>
      <c r="I376" s="129"/>
      <c r="J376" s="111"/>
      <c r="K376" s="231"/>
    </row>
    <row r="377" spans="2:11" x14ac:dyDescent="0.2">
      <c r="B377" s="345"/>
      <c r="C377" s="148"/>
      <c r="D377" s="148"/>
      <c r="E377" s="215"/>
      <c r="F377" s="216"/>
      <c r="G377" s="99"/>
      <c r="H377" s="100"/>
      <c r="I377" s="129"/>
      <c r="J377" s="111"/>
      <c r="K377" s="231"/>
    </row>
    <row r="378" spans="2:11" x14ac:dyDescent="0.2">
      <c r="B378" s="345"/>
      <c r="C378" s="148"/>
      <c r="D378" s="148"/>
      <c r="E378" s="215"/>
      <c r="F378" s="216"/>
      <c r="G378" s="99"/>
      <c r="H378" s="100"/>
      <c r="I378" s="129"/>
      <c r="J378" s="111"/>
      <c r="K378" s="231"/>
    </row>
    <row r="379" spans="2:11" x14ac:dyDescent="0.2">
      <c r="B379" s="345"/>
      <c r="C379" s="148"/>
      <c r="D379" s="148"/>
      <c r="E379" s="215"/>
      <c r="F379" s="216"/>
      <c r="G379" s="99"/>
      <c r="H379" s="100"/>
      <c r="I379" s="129"/>
      <c r="J379" s="111"/>
      <c r="K379" s="231"/>
    </row>
    <row r="380" spans="2:11" ht="15.75" x14ac:dyDescent="0.25">
      <c r="B380" s="343"/>
      <c r="C380" s="236" t="s">
        <v>80</v>
      </c>
      <c r="D380" s="236" t="s">
        <v>81</v>
      </c>
      <c r="E380" s="238">
        <v>0</v>
      </c>
      <c r="F380" s="239">
        <f>SUM(F381:F384)</f>
        <v>15000000</v>
      </c>
      <c r="G380" s="239">
        <f>SUM(G381:G384)</f>
        <v>0</v>
      </c>
      <c r="H380" s="239">
        <f>SUM(H381:H384)</f>
        <v>0</v>
      </c>
      <c r="I380" s="240">
        <f>E380+F380+G380-H380</f>
        <v>15000000</v>
      </c>
      <c r="J380" s="239">
        <f>SUM(J381:J384)</f>
        <v>0</v>
      </c>
      <c r="K380" s="242">
        <f>I380-J380</f>
        <v>15000000</v>
      </c>
    </row>
    <row r="381" spans="2:11" x14ac:dyDescent="0.2">
      <c r="B381" s="345"/>
      <c r="C381" s="148"/>
      <c r="D381" s="214" t="s">
        <v>184</v>
      </c>
      <c r="E381" s="215"/>
      <c r="F381" s="216">
        <v>15000000</v>
      </c>
      <c r="G381" s="99"/>
      <c r="H381" s="100"/>
      <c r="I381" s="129"/>
      <c r="J381" s="111"/>
      <c r="K381" s="231"/>
    </row>
    <row r="382" spans="2:11" x14ac:dyDescent="0.2">
      <c r="B382" s="345"/>
      <c r="C382" s="148"/>
      <c r="D382" s="148"/>
      <c r="E382" s="215"/>
      <c r="F382" s="216"/>
      <c r="G382" s="99"/>
      <c r="H382" s="100"/>
      <c r="I382" s="129"/>
      <c r="J382" s="111"/>
      <c r="K382" s="231"/>
    </row>
    <row r="383" spans="2:11" x14ac:dyDescent="0.2">
      <c r="B383" s="345"/>
      <c r="C383" s="148"/>
      <c r="D383" s="148"/>
      <c r="E383" s="215"/>
      <c r="F383" s="216"/>
      <c r="G383" s="99"/>
      <c r="H383" s="100"/>
      <c r="I383" s="129"/>
      <c r="J383" s="111"/>
      <c r="K383" s="231"/>
    </row>
    <row r="384" spans="2:11" x14ac:dyDescent="0.2">
      <c r="B384" s="345"/>
      <c r="C384" s="148"/>
      <c r="D384" s="148"/>
      <c r="E384" s="215"/>
      <c r="F384" s="216"/>
      <c r="G384" s="99"/>
      <c r="H384" s="100"/>
      <c r="I384" s="129"/>
      <c r="J384" s="111"/>
      <c r="K384" s="231"/>
    </row>
    <row r="385" spans="2:11" ht="15.75" x14ac:dyDescent="0.25">
      <c r="B385" s="343"/>
      <c r="C385" s="236">
        <v>2020120213</v>
      </c>
      <c r="D385" s="236" t="s">
        <v>83</v>
      </c>
      <c r="E385" s="238">
        <v>0</v>
      </c>
      <c r="F385" s="239">
        <f>SUM(F386:F389)</f>
        <v>3000000</v>
      </c>
      <c r="G385" s="239">
        <f>SUM(G386:G389)</f>
        <v>0</v>
      </c>
      <c r="H385" s="239">
        <f>SUM(H386:H389)</f>
        <v>0</v>
      </c>
      <c r="I385" s="240">
        <f>E385+F385+G385-H385</f>
        <v>3000000</v>
      </c>
      <c r="J385" s="239">
        <f>SUM(J386:J389)</f>
        <v>0</v>
      </c>
      <c r="K385" s="242">
        <f>I385-J385</f>
        <v>3000000</v>
      </c>
    </row>
    <row r="386" spans="2:11" x14ac:dyDescent="0.2">
      <c r="B386" s="345">
        <v>42759</v>
      </c>
      <c r="C386" s="148"/>
      <c r="D386" s="214" t="s">
        <v>184</v>
      </c>
      <c r="E386" s="215"/>
      <c r="F386" s="216">
        <v>3000000</v>
      </c>
      <c r="G386" s="99"/>
      <c r="H386" s="100"/>
      <c r="I386" s="129"/>
      <c r="J386" s="111"/>
      <c r="K386" s="231"/>
    </row>
    <row r="387" spans="2:11" x14ac:dyDescent="0.2">
      <c r="B387" s="345"/>
      <c r="C387" s="148"/>
      <c r="D387" s="148"/>
      <c r="E387" s="215"/>
      <c r="F387" s="216"/>
      <c r="G387" s="99"/>
      <c r="H387" s="100"/>
      <c r="I387" s="129"/>
      <c r="J387" s="111"/>
      <c r="K387" s="231"/>
    </row>
    <row r="388" spans="2:11" x14ac:dyDescent="0.2">
      <c r="B388" s="345"/>
      <c r="C388" s="148"/>
      <c r="D388" s="148"/>
      <c r="E388" s="215"/>
      <c r="F388" s="216"/>
      <c r="G388" s="99"/>
      <c r="H388" s="100"/>
      <c r="I388" s="129"/>
      <c r="J388" s="111"/>
      <c r="K388" s="231"/>
    </row>
    <row r="389" spans="2:11" x14ac:dyDescent="0.2">
      <c r="B389" s="345"/>
      <c r="C389" s="148"/>
      <c r="D389" s="148"/>
      <c r="E389" s="215"/>
      <c r="F389" s="216"/>
      <c r="G389" s="99"/>
      <c r="H389" s="100"/>
      <c r="I389" s="129"/>
      <c r="J389" s="111"/>
      <c r="K389" s="231"/>
    </row>
    <row r="390" spans="2:11" ht="15.75" x14ac:dyDescent="0.25">
      <c r="B390" s="343"/>
      <c r="C390" s="236" t="s">
        <v>84</v>
      </c>
      <c r="D390" s="236" t="s">
        <v>85</v>
      </c>
      <c r="E390" s="238">
        <v>0</v>
      </c>
      <c r="F390" s="239"/>
      <c r="G390" s="240"/>
      <c r="H390" s="240"/>
      <c r="I390" s="240">
        <f>E390+F390+G390-H390</f>
        <v>0</v>
      </c>
      <c r="J390" s="241"/>
      <c r="K390" s="244"/>
    </row>
    <row r="391" spans="2:11" x14ac:dyDescent="0.2">
      <c r="B391" s="345"/>
      <c r="C391" s="148"/>
      <c r="D391" s="148"/>
      <c r="E391" s="215"/>
      <c r="F391" s="216"/>
      <c r="G391" s="99"/>
      <c r="H391" s="100"/>
      <c r="I391" s="129"/>
      <c r="J391" s="111"/>
      <c r="K391" s="231"/>
    </row>
    <row r="392" spans="2:11" ht="15.75" x14ac:dyDescent="0.25">
      <c r="B392" s="343"/>
      <c r="C392" s="236">
        <v>2020120215</v>
      </c>
      <c r="D392" s="236" t="s">
        <v>118</v>
      </c>
      <c r="E392" s="238">
        <v>950000</v>
      </c>
      <c r="F392" s="239">
        <f>SUM(F393:F397)</f>
        <v>0</v>
      </c>
      <c r="G392" s="239">
        <f>SUM(G393:G394)</f>
        <v>0</v>
      </c>
      <c r="H392" s="239">
        <f>SUM(H393:H397)</f>
        <v>0</v>
      </c>
      <c r="I392" s="240">
        <f>E392+F392+G392-H392</f>
        <v>950000</v>
      </c>
      <c r="J392" s="239">
        <f>SUM(J393:J394)</f>
        <v>0</v>
      </c>
      <c r="K392" s="242">
        <f>I392-J392</f>
        <v>950000</v>
      </c>
    </row>
    <row r="393" spans="2:11" x14ac:dyDescent="0.2">
      <c r="B393" s="345"/>
      <c r="C393" s="148"/>
      <c r="D393" s="148"/>
      <c r="E393" s="215"/>
      <c r="F393" s="216"/>
      <c r="G393" s="101"/>
      <c r="H393" s="100"/>
      <c r="I393" s="129"/>
      <c r="J393" s="111"/>
      <c r="K393" s="231"/>
    </row>
    <row r="394" spans="2:11" x14ac:dyDescent="0.2">
      <c r="B394" s="345"/>
      <c r="C394" s="148"/>
      <c r="D394" s="148"/>
      <c r="E394" s="215"/>
      <c r="F394" s="216"/>
      <c r="G394" s="101"/>
      <c r="H394" s="100"/>
      <c r="I394" s="129"/>
      <c r="J394" s="111"/>
      <c r="K394" s="231"/>
    </row>
    <row r="395" spans="2:11" ht="18" x14ac:dyDescent="0.25">
      <c r="B395" s="356"/>
      <c r="C395" s="332">
        <v>20201203</v>
      </c>
      <c r="D395" s="332" t="s">
        <v>191</v>
      </c>
      <c r="E395" s="333">
        <v>0</v>
      </c>
      <c r="F395" s="250">
        <f>SUM(F397:F415)</f>
        <v>0</v>
      </c>
      <c r="G395" s="250">
        <f>G396</f>
        <v>1000000</v>
      </c>
      <c r="H395" s="250">
        <f>H396</f>
        <v>0</v>
      </c>
      <c r="I395" s="250">
        <f>I396</f>
        <v>1000000</v>
      </c>
      <c r="J395" s="250">
        <f>J396</f>
        <v>428757</v>
      </c>
      <c r="K395" s="334">
        <f>I395-J395</f>
        <v>571243</v>
      </c>
    </row>
    <row r="396" spans="2:11" ht="18" x14ac:dyDescent="0.25">
      <c r="B396" s="343"/>
      <c r="C396" s="235">
        <v>2020120301</v>
      </c>
      <c r="D396" s="235"/>
      <c r="E396" s="335">
        <f>SUM(E397:E411)</f>
        <v>0</v>
      </c>
      <c r="F396" s="335">
        <f>SUM(F397:F411)</f>
        <v>0</v>
      </c>
      <c r="G396" s="335">
        <f>SUM(G397:G411)</f>
        <v>1000000</v>
      </c>
      <c r="H396" s="335">
        <f>SUM(H397:H411)</f>
        <v>0</v>
      </c>
      <c r="I396" s="240">
        <f>E396+F396+G396-H396</f>
        <v>1000000</v>
      </c>
      <c r="J396" s="335">
        <f>SUM(J397:J411)</f>
        <v>428757</v>
      </c>
      <c r="K396" s="337">
        <f>I396-J396</f>
        <v>571243</v>
      </c>
    </row>
    <row r="397" spans="2:11" x14ac:dyDescent="0.2">
      <c r="B397" s="344">
        <v>42745</v>
      </c>
      <c r="C397" s="148"/>
      <c r="D397" s="230" t="s">
        <v>221</v>
      </c>
      <c r="E397" s="215"/>
      <c r="F397" s="216"/>
      <c r="G397" s="101">
        <v>1000000</v>
      </c>
      <c r="H397" s="100"/>
      <c r="I397" s="129"/>
      <c r="J397" s="111"/>
      <c r="K397" s="231"/>
    </row>
    <row r="398" spans="2:11" x14ac:dyDescent="0.2">
      <c r="B398" s="357">
        <v>43237</v>
      </c>
      <c r="C398" s="148"/>
      <c r="D398" s="336" t="s">
        <v>234</v>
      </c>
      <c r="E398" s="215"/>
      <c r="F398" s="216"/>
      <c r="G398" s="101"/>
      <c r="H398" s="100"/>
      <c r="I398" s="111"/>
      <c r="J398" s="103">
        <v>222173</v>
      </c>
      <c r="K398" s="231"/>
    </row>
    <row r="399" spans="2:11" x14ac:dyDescent="0.2">
      <c r="B399" s="357"/>
      <c r="C399" s="148"/>
      <c r="D399" s="336" t="s">
        <v>129</v>
      </c>
      <c r="E399" s="215"/>
      <c r="F399" s="216"/>
      <c r="G399" s="101"/>
      <c r="H399" s="100"/>
      <c r="I399" s="129"/>
      <c r="J399" s="111">
        <v>112931</v>
      </c>
      <c r="K399" s="231"/>
    </row>
    <row r="400" spans="2:11" x14ac:dyDescent="0.2">
      <c r="B400" s="357">
        <v>43285</v>
      </c>
      <c r="C400" s="148"/>
      <c r="D400" s="336" t="s">
        <v>130</v>
      </c>
      <c r="E400" s="215"/>
      <c r="F400" s="216"/>
      <c r="G400" s="101"/>
      <c r="H400" s="100"/>
      <c r="I400" s="129"/>
      <c r="J400" s="111">
        <v>93653</v>
      </c>
      <c r="K400" s="231"/>
    </row>
    <row r="401" spans="2:11" x14ac:dyDescent="0.2">
      <c r="B401" s="357"/>
      <c r="C401" s="148"/>
      <c r="D401" s="336"/>
      <c r="E401" s="215"/>
      <c r="F401" s="216"/>
      <c r="G401" s="101"/>
      <c r="H401" s="100"/>
      <c r="I401" s="129"/>
      <c r="J401" s="111"/>
      <c r="K401" s="231"/>
    </row>
    <row r="402" spans="2:11" x14ac:dyDescent="0.2">
      <c r="B402" s="357"/>
      <c r="C402" s="148"/>
      <c r="D402" s="336"/>
      <c r="E402" s="215"/>
      <c r="F402" s="216"/>
      <c r="G402" s="101"/>
      <c r="H402" s="100"/>
      <c r="I402" s="129"/>
      <c r="J402" s="111"/>
      <c r="K402" s="231"/>
    </row>
    <row r="403" spans="2:11" x14ac:dyDescent="0.2">
      <c r="B403" s="357"/>
      <c r="C403" s="148"/>
      <c r="D403" s="336"/>
      <c r="E403" s="215"/>
      <c r="F403" s="216"/>
      <c r="G403" s="101"/>
      <c r="H403" s="100"/>
      <c r="I403" s="129"/>
      <c r="J403" s="111"/>
      <c r="K403" s="231"/>
    </row>
    <row r="404" spans="2:11" x14ac:dyDescent="0.2">
      <c r="B404" s="357"/>
      <c r="C404" s="148"/>
      <c r="D404" s="336"/>
      <c r="E404" s="215"/>
      <c r="F404" s="216"/>
      <c r="G404" s="101"/>
      <c r="H404" s="100"/>
      <c r="I404" s="129"/>
      <c r="J404" s="111"/>
      <c r="K404" s="231"/>
    </row>
    <row r="405" spans="2:11" x14ac:dyDescent="0.2">
      <c r="B405" s="357"/>
      <c r="C405" s="148"/>
      <c r="D405" s="336"/>
      <c r="E405" s="215"/>
      <c r="F405" s="216"/>
      <c r="G405" s="101"/>
      <c r="H405" s="100"/>
      <c r="I405" s="129"/>
      <c r="J405" s="111"/>
      <c r="K405" s="231"/>
    </row>
    <row r="406" spans="2:11" x14ac:dyDescent="0.2">
      <c r="B406" s="357"/>
      <c r="C406" s="148"/>
      <c r="D406" s="336"/>
      <c r="E406" s="215"/>
      <c r="F406" s="216"/>
      <c r="G406" s="101"/>
      <c r="H406" s="100"/>
      <c r="I406" s="129"/>
      <c r="J406" s="111"/>
      <c r="K406" s="231"/>
    </row>
    <row r="407" spans="2:11" x14ac:dyDescent="0.2">
      <c r="B407" s="357"/>
      <c r="C407" s="148"/>
      <c r="D407" s="336"/>
      <c r="E407" s="215"/>
      <c r="F407" s="216"/>
      <c r="G407" s="101"/>
      <c r="H407" s="100"/>
      <c r="I407" s="129"/>
      <c r="J407" s="111"/>
      <c r="K407" s="231"/>
    </row>
    <row r="408" spans="2:11" x14ac:dyDescent="0.2">
      <c r="B408" s="357"/>
      <c r="C408" s="148"/>
      <c r="D408" s="336"/>
      <c r="E408" s="215"/>
      <c r="F408" s="216"/>
      <c r="G408" s="101"/>
      <c r="H408" s="100"/>
      <c r="I408" s="129"/>
      <c r="J408" s="111"/>
      <c r="K408" s="231"/>
    </row>
    <row r="409" spans="2:11" x14ac:dyDescent="0.2">
      <c r="B409" s="357"/>
      <c r="C409" s="148"/>
      <c r="D409" s="336"/>
      <c r="E409" s="215"/>
      <c r="F409" s="216"/>
      <c r="G409" s="101"/>
      <c r="H409" s="100"/>
      <c r="I409" s="129"/>
      <c r="J409" s="111"/>
      <c r="K409" s="231"/>
    </row>
    <row r="410" spans="2:11" x14ac:dyDescent="0.2">
      <c r="B410" s="345"/>
      <c r="C410" s="148"/>
      <c r="D410" s="148"/>
      <c r="E410" s="215"/>
      <c r="F410" s="216"/>
      <c r="G410" s="101"/>
      <c r="H410" s="100"/>
      <c r="I410" s="129"/>
      <c r="J410" s="111"/>
      <c r="K410" s="231"/>
    </row>
    <row r="411" spans="2:11" x14ac:dyDescent="0.2">
      <c r="B411" s="345"/>
      <c r="C411" s="148"/>
      <c r="D411" s="148"/>
      <c r="E411" s="215"/>
      <c r="F411" s="216"/>
      <c r="G411" s="101"/>
      <c r="H411" s="100"/>
      <c r="I411" s="129"/>
      <c r="J411" s="111"/>
      <c r="K411" s="231"/>
    </row>
    <row r="412" spans="2:11" x14ac:dyDescent="0.2">
      <c r="B412" s="345"/>
      <c r="C412" s="148"/>
      <c r="D412" s="148"/>
      <c r="E412" s="215"/>
      <c r="F412" s="216"/>
      <c r="G412" s="101"/>
      <c r="H412" s="100"/>
      <c r="I412" s="129"/>
      <c r="J412" s="111"/>
      <c r="K412" s="231"/>
    </row>
    <row r="413" spans="2:11" s="297" customFormat="1" ht="36" x14ac:dyDescent="0.25">
      <c r="B413" s="358"/>
      <c r="C413" s="293" t="s">
        <v>86</v>
      </c>
      <c r="D413" s="294" t="s">
        <v>155</v>
      </c>
      <c r="E413" s="295">
        <f t="shared" ref="E413:J413" si="3">ROUND((E414+E424+E438+E450),0)</f>
        <v>83777302</v>
      </c>
      <c r="F413" s="295">
        <f t="shared" si="3"/>
        <v>0</v>
      </c>
      <c r="G413" s="295">
        <f t="shared" si="3"/>
        <v>0</v>
      </c>
      <c r="H413" s="295">
        <f t="shared" si="3"/>
        <v>0</v>
      </c>
      <c r="I413" s="295">
        <f t="shared" si="3"/>
        <v>83777302</v>
      </c>
      <c r="J413" s="295">
        <f t="shared" si="3"/>
        <v>28850783</v>
      </c>
      <c r="K413" s="296">
        <f>I413-J413</f>
        <v>54926519</v>
      </c>
    </row>
    <row r="414" spans="2:11" ht="15" x14ac:dyDescent="0.25">
      <c r="B414" s="354"/>
      <c r="C414" s="269" t="s">
        <v>88</v>
      </c>
      <c r="D414" s="269" t="s">
        <v>89</v>
      </c>
      <c r="E414" s="270">
        <v>13146617.570005897</v>
      </c>
      <c r="F414" s="271">
        <f>SUM(F415:F423)</f>
        <v>0</v>
      </c>
      <c r="G414" s="271">
        <f>SUM(G415:G423)</f>
        <v>0</v>
      </c>
      <c r="H414" s="271">
        <f>SUM(H415:H423)</f>
        <v>0</v>
      </c>
      <c r="I414" s="272">
        <f>E414+F414+G414-H414</f>
        <v>13146617.570005897</v>
      </c>
      <c r="J414" s="292">
        <f>SUM(J415:J423)</f>
        <v>0</v>
      </c>
      <c r="K414" s="277">
        <f>I414-J414</f>
        <v>13146617.570005897</v>
      </c>
    </row>
    <row r="415" spans="2:11" x14ac:dyDescent="0.2">
      <c r="B415" s="345"/>
      <c r="C415" s="148"/>
      <c r="D415" s="148"/>
      <c r="E415" s="215"/>
      <c r="F415" s="216"/>
      <c r="G415" s="99"/>
      <c r="H415" s="100"/>
      <c r="I415" s="129"/>
      <c r="J415" s="111"/>
      <c r="K415" s="231"/>
    </row>
    <row r="416" spans="2:11" x14ac:dyDescent="0.2">
      <c r="B416" s="345"/>
      <c r="C416" s="148"/>
      <c r="D416" s="148"/>
      <c r="E416" s="215"/>
      <c r="F416" s="216"/>
      <c r="G416" s="99"/>
      <c r="H416" s="100"/>
      <c r="I416" s="129"/>
      <c r="J416" s="111"/>
      <c r="K416" s="231"/>
    </row>
    <row r="417" spans="2:11" x14ac:dyDescent="0.2">
      <c r="B417" s="345"/>
      <c r="C417" s="148"/>
      <c r="D417" s="148"/>
      <c r="E417" s="215"/>
      <c r="F417" s="216"/>
      <c r="G417" s="99"/>
      <c r="H417" s="100"/>
      <c r="I417" s="129"/>
      <c r="J417" s="111"/>
      <c r="K417" s="231"/>
    </row>
    <row r="418" spans="2:11" x14ac:dyDescent="0.2">
      <c r="B418" s="345"/>
      <c r="C418" s="148"/>
      <c r="D418" s="148"/>
      <c r="E418" s="215"/>
      <c r="F418" s="216"/>
      <c r="G418" s="99"/>
      <c r="H418" s="100"/>
      <c r="I418" s="129"/>
      <c r="J418" s="111"/>
      <c r="K418" s="231"/>
    </row>
    <row r="419" spans="2:11" x14ac:dyDescent="0.2">
      <c r="B419" s="345"/>
      <c r="C419" s="148"/>
      <c r="D419" s="148"/>
      <c r="E419" s="215"/>
      <c r="F419" s="216"/>
      <c r="G419" s="99"/>
      <c r="H419" s="100"/>
      <c r="I419" s="129"/>
      <c r="J419" s="111"/>
      <c r="K419" s="231"/>
    </row>
    <row r="420" spans="2:11" x14ac:dyDescent="0.2">
      <c r="B420" s="345"/>
      <c r="C420" s="148"/>
      <c r="D420" s="148"/>
      <c r="E420" s="215"/>
      <c r="F420" s="216"/>
      <c r="G420" s="99"/>
      <c r="H420" s="100"/>
      <c r="I420" s="129"/>
      <c r="J420" s="111"/>
      <c r="K420" s="231"/>
    </row>
    <row r="421" spans="2:11" x14ac:dyDescent="0.2">
      <c r="B421" s="345"/>
      <c r="C421" s="148"/>
      <c r="D421" s="148"/>
      <c r="E421" s="215"/>
      <c r="F421" s="216"/>
      <c r="G421" s="99"/>
      <c r="H421" s="100"/>
      <c r="I421" s="129"/>
      <c r="J421" s="111"/>
      <c r="K421" s="231"/>
    </row>
    <row r="422" spans="2:11" x14ac:dyDescent="0.2">
      <c r="B422" s="345"/>
      <c r="C422" s="148"/>
      <c r="D422" s="148"/>
      <c r="E422" s="215"/>
      <c r="F422" s="216"/>
      <c r="G422" s="99"/>
      <c r="H422" s="100"/>
      <c r="I422" s="129"/>
      <c r="J422" s="111"/>
      <c r="K422" s="231"/>
    </row>
    <row r="423" spans="2:11" x14ac:dyDescent="0.2">
      <c r="B423" s="345"/>
      <c r="C423" s="148"/>
      <c r="D423" s="148"/>
      <c r="E423" s="215"/>
      <c r="F423" s="216"/>
      <c r="G423" s="99"/>
      <c r="H423" s="100"/>
      <c r="I423" s="129"/>
      <c r="J423" s="111"/>
      <c r="K423" s="231"/>
    </row>
    <row r="424" spans="2:11" ht="15" x14ac:dyDescent="0.25">
      <c r="B424" s="354"/>
      <c r="C424" s="269" t="s">
        <v>90</v>
      </c>
      <c r="D424" s="269" t="s">
        <v>91</v>
      </c>
      <c r="E424" s="270">
        <v>43392204</v>
      </c>
      <c r="F424" s="271">
        <f>SUM(F425:F437)</f>
        <v>0</v>
      </c>
      <c r="G424" s="271">
        <f>SUM(G425:G437)</f>
        <v>0</v>
      </c>
      <c r="H424" s="271">
        <f>SUM(H425:H437)</f>
        <v>0</v>
      </c>
      <c r="I424" s="272">
        <f>E424+F424+G424-H424</f>
        <v>43392204</v>
      </c>
      <c r="J424" s="292">
        <f>SUM(J425:J437)</f>
        <v>21337349</v>
      </c>
      <c r="K424" s="277">
        <f>I424-J424</f>
        <v>22054855</v>
      </c>
    </row>
    <row r="425" spans="2:11" x14ac:dyDescent="0.2">
      <c r="B425" s="345">
        <v>43129</v>
      </c>
      <c r="C425" s="148"/>
      <c r="D425" s="148" t="s">
        <v>183</v>
      </c>
      <c r="E425" s="215"/>
      <c r="F425" s="216"/>
      <c r="G425" s="99"/>
      <c r="H425" s="100"/>
      <c r="I425" s="129"/>
      <c r="J425" s="111">
        <f>4924400-1567700</f>
        <v>3356700</v>
      </c>
      <c r="K425" s="112"/>
    </row>
    <row r="426" spans="2:11" x14ac:dyDescent="0.2">
      <c r="B426" s="345">
        <v>43157</v>
      </c>
      <c r="C426" s="148"/>
      <c r="D426" s="148" t="s">
        <v>199</v>
      </c>
      <c r="E426" s="215"/>
      <c r="F426" s="216"/>
      <c r="G426" s="99"/>
      <c r="H426" s="100"/>
      <c r="I426" s="129"/>
      <c r="J426" s="111">
        <f>4924400-1575607</f>
        <v>3348793</v>
      </c>
      <c r="K426" s="112"/>
    </row>
    <row r="427" spans="2:11" x14ac:dyDescent="0.2">
      <c r="B427" s="345">
        <v>43181</v>
      </c>
      <c r="C427" s="148"/>
      <c r="D427" s="148" t="s">
        <v>127</v>
      </c>
      <c r="E427" s="215"/>
      <c r="F427" s="216"/>
      <c r="G427" s="99"/>
      <c r="H427" s="100"/>
      <c r="I427" s="129"/>
      <c r="J427" s="111">
        <f>5864000-1876212</f>
        <v>3987788</v>
      </c>
      <c r="K427" s="112"/>
    </row>
    <row r="428" spans="2:11" x14ac:dyDescent="0.2">
      <c r="B428" s="345">
        <v>43215</v>
      </c>
      <c r="C428" s="148"/>
      <c r="D428" s="148" t="s">
        <v>128</v>
      </c>
      <c r="E428" s="215"/>
      <c r="F428" s="216"/>
      <c r="G428" s="99"/>
      <c r="H428" s="100"/>
      <c r="I428" s="129"/>
      <c r="J428" s="111">
        <v>3561692</v>
      </c>
      <c r="K428" s="112"/>
    </row>
    <row r="429" spans="2:11" x14ac:dyDescent="0.2">
      <c r="B429" s="345">
        <v>43245</v>
      </c>
      <c r="C429" s="148"/>
      <c r="D429" s="148" t="s">
        <v>129</v>
      </c>
      <c r="E429" s="215"/>
      <c r="F429" s="216"/>
      <c r="G429" s="99"/>
      <c r="H429" s="100"/>
      <c r="I429" s="129"/>
      <c r="J429" s="111">
        <f>5237500-1675808</f>
        <v>3561692</v>
      </c>
      <c r="K429" s="112"/>
    </row>
    <row r="430" spans="2:11" x14ac:dyDescent="0.2">
      <c r="B430" s="345">
        <v>43277</v>
      </c>
      <c r="C430" s="148"/>
      <c r="D430" s="148" t="s">
        <v>130</v>
      </c>
      <c r="E430" s="215"/>
      <c r="F430" s="216"/>
      <c r="G430" s="99"/>
      <c r="H430" s="100"/>
      <c r="I430" s="129"/>
      <c r="J430" s="111">
        <v>3520684</v>
      </c>
      <c r="K430" s="112"/>
    </row>
    <row r="431" spans="2:11" x14ac:dyDescent="0.2">
      <c r="B431" s="345"/>
      <c r="C431" s="148"/>
      <c r="D431" s="148"/>
      <c r="E431" s="215"/>
      <c r="F431" s="216"/>
      <c r="G431" s="99"/>
      <c r="H431" s="100"/>
      <c r="I431" s="129"/>
      <c r="J431" s="111"/>
      <c r="K431" s="112"/>
    </row>
    <row r="432" spans="2:11" x14ac:dyDescent="0.2">
      <c r="B432" s="345"/>
      <c r="C432" s="148"/>
      <c r="D432" s="148"/>
      <c r="E432" s="215"/>
      <c r="F432" s="216"/>
      <c r="G432" s="99"/>
      <c r="H432" s="100"/>
      <c r="I432" s="129"/>
      <c r="J432" s="111"/>
      <c r="K432" s="112"/>
    </row>
    <row r="433" spans="2:11" x14ac:dyDescent="0.2">
      <c r="B433" s="345"/>
      <c r="C433" s="148"/>
      <c r="D433" s="148"/>
      <c r="E433" s="215"/>
      <c r="F433" s="216"/>
      <c r="G433" s="99"/>
      <c r="H433" s="100"/>
      <c r="I433" s="129"/>
      <c r="J433" s="111"/>
      <c r="K433" s="112"/>
    </row>
    <row r="434" spans="2:11" x14ac:dyDescent="0.2">
      <c r="B434" s="345"/>
      <c r="C434" s="148"/>
      <c r="D434" s="148"/>
      <c r="E434" s="215"/>
      <c r="F434" s="216"/>
      <c r="G434" s="99"/>
      <c r="H434" s="100"/>
      <c r="I434" s="129"/>
      <c r="J434" s="111"/>
      <c r="K434" s="112"/>
    </row>
    <row r="435" spans="2:11" x14ac:dyDescent="0.2">
      <c r="B435" s="345"/>
      <c r="C435" s="148"/>
      <c r="D435" s="148"/>
      <c r="E435" s="215"/>
      <c r="F435" s="216"/>
      <c r="G435" s="99"/>
      <c r="H435" s="100"/>
      <c r="I435" s="129"/>
      <c r="J435" s="111"/>
      <c r="K435" s="112"/>
    </row>
    <row r="436" spans="2:11" x14ac:dyDescent="0.2">
      <c r="B436" s="345"/>
      <c r="C436" s="148"/>
      <c r="D436" s="148"/>
      <c r="E436" s="215"/>
      <c r="F436" s="216"/>
      <c r="G436" s="99"/>
      <c r="H436" s="100"/>
      <c r="I436" s="129"/>
      <c r="J436" s="111"/>
      <c r="K436" s="112"/>
    </row>
    <row r="437" spans="2:11" x14ac:dyDescent="0.2">
      <c r="B437" s="345"/>
      <c r="C437" s="148"/>
      <c r="D437" s="148"/>
      <c r="E437" s="215"/>
      <c r="F437" s="216"/>
      <c r="G437" s="99"/>
      <c r="H437" s="100"/>
      <c r="I437" s="129"/>
      <c r="J437" s="111"/>
      <c r="K437" s="112"/>
    </row>
    <row r="438" spans="2:11" ht="15" x14ac:dyDescent="0.25">
      <c r="B438" s="354"/>
      <c r="C438" s="269">
        <v>2020110304</v>
      </c>
      <c r="D438" s="269" t="s">
        <v>92</v>
      </c>
      <c r="E438" s="270">
        <v>21030768.590477761</v>
      </c>
      <c r="F438" s="271">
        <f>SUM(F439:F449)</f>
        <v>0</v>
      </c>
      <c r="G438" s="271">
        <f>SUM(G439:G449)</f>
        <v>0</v>
      </c>
      <c r="H438" s="271">
        <f>SUM(H439:H449)</f>
        <v>0</v>
      </c>
      <c r="I438" s="272">
        <f>E438+F438+G438-H438</f>
        <v>21030768.590477761</v>
      </c>
      <c r="J438" s="292">
        <f>SUM(J439:J449)</f>
        <v>7513434</v>
      </c>
      <c r="K438" s="277">
        <f>I438-J438</f>
        <v>13517334.590477761</v>
      </c>
    </row>
    <row r="439" spans="2:11" x14ac:dyDescent="0.2">
      <c r="B439" s="345">
        <v>43129</v>
      </c>
      <c r="C439" s="148"/>
      <c r="D439" s="148" t="s">
        <v>188</v>
      </c>
      <c r="E439" s="215"/>
      <c r="F439" s="216"/>
      <c r="G439" s="99"/>
      <c r="H439" s="100"/>
      <c r="I439" s="129"/>
      <c r="J439" s="111">
        <f>2250600-620429</f>
        <v>1630171</v>
      </c>
      <c r="K439" s="231"/>
    </row>
    <row r="440" spans="2:11" x14ac:dyDescent="0.2">
      <c r="B440" s="345">
        <v>43157</v>
      </c>
      <c r="C440" s="148"/>
      <c r="D440" s="148" t="s">
        <v>203</v>
      </c>
      <c r="E440" s="215"/>
      <c r="F440" s="216"/>
      <c r="G440" s="99"/>
      <c r="H440" s="100"/>
      <c r="I440" s="129"/>
      <c r="J440" s="111">
        <f>1512900-410734</f>
        <v>1102166</v>
      </c>
      <c r="K440" s="231"/>
    </row>
    <row r="441" spans="2:11" x14ac:dyDescent="0.2">
      <c r="B441" s="345">
        <v>43181</v>
      </c>
      <c r="C441" s="148"/>
      <c r="D441" s="148" t="s">
        <v>210</v>
      </c>
      <c r="E441" s="215"/>
      <c r="F441" s="216"/>
      <c r="G441" s="99"/>
      <c r="H441" s="100"/>
      <c r="I441" s="129"/>
      <c r="J441" s="111">
        <f>1821300-494401</f>
        <v>1326899</v>
      </c>
      <c r="K441" s="231"/>
    </row>
    <row r="442" spans="2:11" x14ac:dyDescent="0.2">
      <c r="B442" s="345">
        <v>43215</v>
      </c>
      <c r="C442" s="148"/>
      <c r="D442" s="148" t="s">
        <v>224</v>
      </c>
      <c r="E442" s="215"/>
      <c r="F442" s="216"/>
      <c r="G442" s="99"/>
      <c r="H442" s="100"/>
      <c r="I442" s="129"/>
      <c r="J442" s="111">
        <f>1615700-438624</f>
        <v>1177076</v>
      </c>
      <c r="K442" s="231"/>
    </row>
    <row r="443" spans="2:11" x14ac:dyDescent="0.2">
      <c r="B443" s="345">
        <v>43245</v>
      </c>
      <c r="C443" s="148"/>
      <c r="D443" s="148" t="s">
        <v>236</v>
      </c>
      <c r="E443" s="215"/>
      <c r="F443" s="216"/>
      <c r="G443" s="99"/>
      <c r="H443" s="100"/>
      <c r="I443" s="129"/>
      <c r="J443" s="111">
        <f>1615700-438624</f>
        <v>1177076</v>
      </c>
      <c r="K443" s="231"/>
    </row>
    <row r="444" spans="2:11" x14ac:dyDescent="0.2">
      <c r="B444" s="345">
        <v>43277</v>
      </c>
      <c r="C444" s="148"/>
      <c r="D444" s="148" t="s">
        <v>130</v>
      </c>
      <c r="E444" s="215"/>
      <c r="F444" s="216"/>
      <c r="G444" s="99"/>
      <c r="H444" s="100"/>
      <c r="I444" s="129"/>
      <c r="J444" s="111">
        <v>1100046</v>
      </c>
      <c r="K444" s="231"/>
    </row>
    <row r="445" spans="2:11" x14ac:dyDescent="0.2">
      <c r="B445" s="345"/>
      <c r="C445" s="148"/>
      <c r="D445" s="148"/>
      <c r="E445" s="215"/>
      <c r="F445" s="216"/>
      <c r="G445" s="99"/>
      <c r="H445" s="100"/>
      <c r="I445" s="129"/>
      <c r="J445" s="111"/>
      <c r="K445" s="231"/>
    </row>
    <row r="446" spans="2:11" x14ac:dyDescent="0.2">
      <c r="B446" s="345"/>
      <c r="C446" s="148"/>
      <c r="D446" s="148"/>
      <c r="E446" s="215"/>
      <c r="F446" s="216"/>
      <c r="G446" s="99"/>
      <c r="H446" s="100"/>
      <c r="I446" s="129"/>
      <c r="J446" s="111"/>
      <c r="K446" s="231"/>
    </row>
    <row r="447" spans="2:11" x14ac:dyDescent="0.2">
      <c r="B447" s="345"/>
      <c r="C447" s="148"/>
      <c r="D447" s="148"/>
      <c r="E447" s="215"/>
      <c r="F447" s="216"/>
      <c r="G447" s="99"/>
      <c r="H447" s="100"/>
      <c r="I447" s="129"/>
      <c r="J447" s="111"/>
      <c r="K447" s="231"/>
    </row>
    <row r="448" spans="2:11" x14ac:dyDescent="0.2">
      <c r="B448" s="345"/>
      <c r="C448" s="148"/>
      <c r="D448" s="148"/>
      <c r="E448" s="215"/>
      <c r="F448" s="216"/>
      <c r="G448" s="99"/>
      <c r="H448" s="100"/>
      <c r="I448" s="129"/>
      <c r="J448" s="111"/>
      <c r="K448" s="231"/>
    </row>
    <row r="449" spans="2:11" x14ac:dyDescent="0.2">
      <c r="B449" s="345"/>
      <c r="C449" s="148"/>
      <c r="D449" s="148"/>
      <c r="E449" s="215"/>
      <c r="F449" s="216"/>
      <c r="G449" s="99"/>
      <c r="H449" s="100"/>
      <c r="I449" s="129"/>
      <c r="J449" s="111"/>
      <c r="K449" s="231"/>
    </row>
    <row r="450" spans="2:11" ht="15" x14ac:dyDescent="0.25">
      <c r="B450" s="354"/>
      <c r="C450" s="269">
        <v>2020110305</v>
      </c>
      <c r="D450" s="269" t="s">
        <v>93</v>
      </c>
      <c r="E450" s="270">
        <v>6207712.159777239</v>
      </c>
      <c r="F450" s="271">
        <f>SUM(F451:F456)</f>
        <v>0</v>
      </c>
      <c r="G450" s="271">
        <f>SUM(G451:G456)</f>
        <v>0</v>
      </c>
      <c r="H450" s="271">
        <f>SUM(H451:H456)</f>
        <v>0</v>
      </c>
      <c r="I450" s="272">
        <f>E450+F450+G450-H450</f>
        <v>6207712.159777239</v>
      </c>
      <c r="J450" s="292">
        <f>SUM(J451:J456)</f>
        <v>0</v>
      </c>
      <c r="K450" s="277">
        <f>I450-J450</f>
        <v>6207712.159777239</v>
      </c>
    </row>
    <row r="451" spans="2:11" x14ac:dyDescent="0.2">
      <c r="B451" s="345"/>
      <c r="C451" s="148"/>
      <c r="D451" s="148"/>
      <c r="E451" s="215"/>
      <c r="F451" s="216"/>
      <c r="G451" s="99"/>
      <c r="H451" s="100"/>
      <c r="I451" s="129"/>
      <c r="J451" s="111"/>
      <c r="K451" s="231"/>
    </row>
    <row r="452" spans="2:11" x14ac:dyDescent="0.2">
      <c r="B452" s="345"/>
      <c r="C452" s="148"/>
      <c r="D452" s="148"/>
      <c r="E452" s="215"/>
      <c r="F452" s="216"/>
      <c r="G452" s="99"/>
      <c r="H452" s="100"/>
      <c r="I452" s="129"/>
      <c r="J452" s="111"/>
      <c r="K452" s="231"/>
    </row>
    <row r="453" spans="2:11" x14ac:dyDescent="0.2">
      <c r="B453" s="345"/>
      <c r="C453" s="148"/>
      <c r="D453" s="148"/>
      <c r="E453" s="215"/>
      <c r="F453" s="216"/>
      <c r="G453" s="99"/>
      <c r="H453" s="100"/>
      <c r="I453" s="129"/>
      <c r="J453" s="111"/>
      <c r="K453" s="231"/>
    </row>
    <row r="454" spans="2:11" x14ac:dyDescent="0.2">
      <c r="B454" s="345"/>
      <c r="C454" s="148"/>
      <c r="D454" s="148"/>
      <c r="E454" s="215"/>
      <c r="F454" s="216"/>
      <c r="G454" s="99"/>
      <c r="H454" s="100"/>
      <c r="I454" s="129"/>
      <c r="J454" s="111"/>
      <c r="K454" s="231"/>
    </row>
    <row r="455" spans="2:11" x14ac:dyDescent="0.2">
      <c r="B455" s="345"/>
      <c r="C455" s="148"/>
      <c r="D455" s="148"/>
      <c r="E455" s="215"/>
      <c r="F455" s="216"/>
      <c r="G455" s="99"/>
      <c r="H455" s="100"/>
      <c r="I455" s="129"/>
      <c r="J455" s="111"/>
      <c r="K455" s="231"/>
    </row>
    <row r="456" spans="2:11" x14ac:dyDescent="0.2">
      <c r="B456" s="345"/>
      <c r="C456" s="148"/>
      <c r="D456" s="148"/>
      <c r="E456" s="215"/>
      <c r="F456" s="216"/>
      <c r="G456" s="99"/>
      <c r="H456" s="100"/>
      <c r="I456" s="129"/>
      <c r="J456" s="111"/>
      <c r="K456" s="231"/>
    </row>
    <row r="457" spans="2:11" s="297" customFormat="1" ht="36" x14ac:dyDescent="0.25">
      <c r="B457" s="358"/>
      <c r="C457" s="293">
        <v>20201104</v>
      </c>
      <c r="D457" s="294" t="s">
        <v>156</v>
      </c>
      <c r="E457" s="295">
        <f t="shared" ref="E457:J457" si="4">ROUND((E458+E469+E473+E485+E497+E510+E526+E540+E559+E569),0)</f>
        <v>127422616</v>
      </c>
      <c r="F457" s="295">
        <f t="shared" si="4"/>
        <v>0</v>
      </c>
      <c r="G457" s="295">
        <f t="shared" si="4"/>
        <v>0</v>
      </c>
      <c r="H457" s="295">
        <f t="shared" si="4"/>
        <v>0</v>
      </c>
      <c r="I457" s="295">
        <f t="shared" si="4"/>
        <v>127422616</v>
      </c>
      <c r="J457" s="295">
        <f t="shared" si="4"/>
        <v>48768692</v>
      </c>
      <c r="K457" s="296">
        <f>I457-J457</f>
        <v>78653924</v>
      </c>
    </row>
    <row r="458" spans="2:11" ht="15" x14ac:dyDescent="0.25">
      <c r="B458" s="354"/>
      <c r="C458" s="298" t="s">
        <v>95</v>
      </c>
      <c r="D458" s="269" t="s">
        <v>205</v>
      </c>
      <c r="E458" s="270">
        <v>38584317</v>
      </c>
      <c r="F458" s="271">
        <f>SUM(F459:F468)</f>
        <v>0</v>
      </c>
      <c r="G458" s="271">
        <f>SUM(G459:G468)</f>
        <v>0</v>
      </c>
      <c r="H458" s="271">
        <f>SUM(H459:H468)</f>
        <v>0</v>
      </c>
      <c r="I458" s="272">
        <f>ROUND((E458+F458+G458-H458),0)</f>
        <v>38584317</v>
      </c>
      <c r="J458" s="292">
        <f>SUM(J459:J468)</f>
        <v>889141</v>
      </c>
      <c r="K458" s="277">
        <f>I458-J458</f>
        <v>37695176</v>
      </c>
    </row>
    <row r="459" spans="2:11" x14ac:dyDescent="0.2">
      <c r="B459" s="345" t="s">
        <v>126</v>
      </c>
      <c r="C459" s="229"/>
      <c r="D459" s="148" t="s">
        <v>206</v>
      </c>
      <c r="E459" s="215"/>
      <c r="F459" s="216"/>
      <c r="G459" s="99"/>
      <c r="H459" s="100"/>
      <c r="I459" s="129"/>
      <c r="J459" s="111">
        <v>889141</v>
      </c>
      <c r="K459" s="231"/>
    </row>
    <row r="460" spans="2:11" x14ac:dyDescent="0.2">
      <c r="B460" s="345"/>
      <c r="C460" s="229"/>
      <c r="D460" s="148"/>
      <c r="E460" s="215"/>
      <c r="F460" s="216"/>
      <c r="G460" s="99"/>
      <c r="H460" s="100"/>
      <c r="I460" s="129"/>
      <c r="J460" s="111"/>
      <c r="K460" s="231"/>
    </row>
    <row r="461" spans="2:11" x14ac:dyDescent="0.2">
      <c r="B461" s="345"/>
      <c r="C461" s="229"/>
      <c r="D461" s="148"/>
      <c r="E461" s="215"/>
      <c r="F461" s="216"/>
      <c r="G461" s="99"/>
      <c r="H461" s="100"/>
      <c r="I461" s="129"/>
      <c r="J461" s="111"/>
      <c r="K461" s="231"/>
    </row>
    <row r="462" spans="2:11" x14ac:dyDescent="0.2">
      <c r="B462" s="345"/>
      <c r="C462" s="229"/>
      <c r="D462" s="148"/>
      <c r="E462" s="215"/>
      <c r="F462" s="216"/>
      <c r="G462" s="99"/>
      <c r="H462" s="100"/>
      <c r="I462" s="129"/>
      <c r="J462" s="111"/>
      <c r="K462" s="231"/>
    </row>
    <row r="463" spans="2:11" x14ac:dyDescent="0.2">
      <c r="B463" s="345"/>
      <c r="C463" s="229"/>
      <c r="D463" s="148"/>
      <c r="E463" s="215"/>
      <c r="F463" s="216"/>
      <c r="G463" s="99"/>
      <c r="H463" s="100"/>
      <c r="I463" s="129"/>
      <c r="J463" s="111"/>
      <c r="K463" s="231"/>
    </row>
    <row r="464" spans="2:11" x14ac:dyDescent="0.2">
      <c r="B464" s="345"/>
      <c r="C464" s="229"/>
      <c r="D464" s="148"/>
      <c r="E464" s="215"/>
      <c r="F464" s="216"/>
      <c r="G464" s="99"/>
      <c r="H464" s="100"/>
      <c r="I464" s="129"/>
      <c r="J464" s="111"/>
      <c r="K464" s="231"/>
    </row>
    <row r="465" spans="2:11" x14ac:dyDescent="0.2">
      <c r="B465" s="345"/>
      <c r="C465" s="229"/>
      <c r="D465" s="148"/>
      <c r="E465" s="215"/>
      <c r="F465" s="216"/>
      <c r="G465" s="99"/>
      <c r="H465" s="100"/>
      <c r="I465" s="129"/>
      <c r="J465" s="111"/>
      <c r="K465" s="231"/>
    </row>
    <row r="466" spans="2:11" x14ac:dyDescent="0.2">
      <c r="B466" s="345"/>
      <c r="C466" s="229"/>
      <c r="D466" s="148"/>
      <c r="E466" s="215"/>
      <c r="F466" s="216"/>
      <c r="G466" s="99"/>
      <c r="H466" s="100"/>
      <c r="I466" s="129"/>
      <c r="J466" s="111"/>
      <c r="K466" s="231"/>
    </row>
    <row r="467" spans="2:11" x14ac:dyDescent="0.2">
      <c r="B467" s="345"/>
      <c r="C467" s="229"/>
      <c r="D467" s="148"/>
      <c r="E467" s="215"/>
      <c r="F467" s="216"/>
      <c r="G467" s="99"/>
      <c r="H467" s="100"/>
      <c r="I467" s="129"/>
      <c r="J467" s="111"/>
      <c r="K467" s="231"/>
    </row>
    <row r="468" spans="2:11" x14ac:dyDescent="0.2">
      <c r="B468" s="345"/>
      <c r="C468" s="229"/>
      <c r="D468" s="148"/>
      <c r="E468" s="215"/>
      <c r="F468" s="216"/>
      <c r="G468" s="99"/>
      <c r="H468" s="100"/>
      <c r="I468" s="129"/>
      <c r="J468" s="111"/>
      <c r="K468" s="231"/>
    </row>
    <row r="469" spans="2:11" ht="15.75" x14ac:dyDescent="0.25">
      <c r="B469" s="343"/>
      <c r="C469" s="236" t="s">
        <v>97</v>
      </c>
      <c r="D469" s="236" t="s">
        <v>91</v>
      </c>
      <c r="E469" s="238">
        <v>0</v>
      </c>
      <c r="F469" s="239"/>
      <c r="G469" s="240"/>
      <c r="H469" s="240"/>
      <c r="I469" s="240">
        <f>ROUND((E469+F469+G469-H469),0)</f>
        <v>0</v>
      </c>
      <c r="J469" s="241"/>
      <c r="K469" s="244"/>
    </row>
    <row r="470" spans="2:11" x14ac:dyDescent="0.2">
      <c r="B470" s="345"/>
      <c r="C470" s="148"/>
      <c r="D470" s="148"/>
      <c r="E470" s="215"/>
      <c r="F470" s="216"/>
      <c r="G470" s="99"/>
      <c r="H470" s="100"/>
      <c r="I470" s="129"/>
      <c r="J470" s="111"/>
      <c r="K470" s="231"/>
    </row>
    <row r="471" spans="2:11" x14ac:dyDescent="0.2">
      <c r="B471" s="345"/>
      <c r="C471" s="148"/>
      <c r="D471" s="148"/>
      <c r="E471" s="215"/>
      <c r="F471" s="216"/>
      <c r="G471" s="99"/>
      <c r="H471" s="100"/>
      <c r="I471" s="129"/>
      <c r="J471" s="111"/>
      <c r="K471" s="231"/>
    </row>
    <row r="472" spans="2:11" x14ac:dyDescent="0.2">
      <c r="B472" s="345"/>
      <c r="C472" s="148"/>
      <c r="D472" s="148"/>
      <c r="E472" s="215"/>
      <c r="F472" s="216"/>
      <c r="G472" s="99"/>
      <c r="H472" s="100"/>
      <c r="I472" s="129"/>
      <c r="J472" s="111"/>
      <c r="K472" s="231"/>
    </row>
    <row r="473" spans="2:11" ht="15.75" x14ac:dyDescent="0.25">
      <c r="B473" s="343"/>
      <c r="C473" s="236" t="s">
        <v>98</v>
      </c>
      <c r="D473" s="236" t="s">
        <v>99</v>
      </c>
      <c r="E473" s="238">
        <v>2664792</v>
      </c>
      <c r="F473" s="239">
        <f>SUM(F474:F484)</f>
        <v>0</v>
      </c>
      <c r="G473" s="239">
        <f>SUM(G474:G484)</f>
        <v>0</v>
      </c>
      <c r="H473" s="239">
        <f>SUM(H474:H484)</f>
        <v>0</v>
      </c>
      <c r="I473" s="240">
        <f>ROUND((E473+F473+G473-H473),0)</f>
        <v>2664792</v>
      </c>
      <c r="J473" s="241">
        <f>SUM(J474:J484)</f>
        <v>1702800</v>
      </c>
      <c r="K473" s="242">
        <f>I473-J473</f>
        <v>961992</v>
      </c>
    </row>
    <row r="474" spans="2:11" x14ac:dyDescent="0.2">
      <c r="B474" s="345">
        <v>43129</v>
      </c>
      <c r="C474" s="148"/>
      <c r="D474" s="148" t="s">
        <v>183</v>
      </c>
      <c r="E474" s="215"/>
      <c r="F474" s="216"/>
      <c r="G474" s="99"/>
      <c r="H474" s="100"/>
      <c r="I474" s="129"/>
      <c r="J474" s="111">
        <v>267200</v>
      </c>
      <c r="K474" s="231"/>
    </row>
    <row r="475" spans="2:11" x14ac:dyDescent="0.2">
      <c r="B475" s="345">
        <v>43157</v>
      </c>
      <c r="C475" s="148"/>
      <c r="D475" s="148" t="s">
        <v>199</v>
      </c>
      <c r="E475" s="215"/>
      <c r="F475" s="216"/>
      <c r="G475" s="99"/>
      <c r="H475" s="100"/>
      <c r="I475" s="129"/>
      <c r="J475" s="111">
        <v>267200</v>
      </c>
      <c r="K475" s="231"/>
    </row>
    <row r="476" spans="2:11" x14ac:dyDescent="0.2">
      <c r="B476" s="345">
        <v>43181</v>
      </c>
      <c r="C476" s="148"/>
      <c r="D476" s="148" t="s">
        <v>127</v>
      </c>
      <c r="E476" s="215"/>
      <c r="F476" s="216"/>
      <c r="G476" s="99"/>
      <c r="H476" s="100"/>
      <c r="I476" s="129"/>
      <c r="J476" s="111">
        <v>318800</v>
      </c>
      <c r="K476" s="231"/>
    </row>
    <row r="477" spans="2:11" x14ac:dyDescent="0.2">
      <c r="B477" s="345">
        <v>43215</v>
      </c>
      <c r="C477" s="148"/>
      <c r="D477" s="148" t="s">
        <v>128</v>
      </c>
      <c r="E477" s="215"/>
      <c r="F477" s="216"/>
      <c r="G477" s="99"/>
      <c r="H477" s="100"/>
      <c r="I477" s="129"/>
      <c r="J477" s="111">
        <v>284300</v>
      </c>
      <c r="K477" s="231"/>
    </row>
    <row r="478" spans="2:11" x14ac:dyDescent="0.2">
      <c r="B478" s="345">
        <v>43244</v>
      </c>
      <c r="C478" s="148"/>
      <c r="D478" s="148" t="s">
        <v>129</v>
      </c>
      <c r="E478" s="215"/>
      <c r="F478" s="216"/>
      <c r="G478" s="99"/>
      <c r="H478" s="100"/>
      <c r="I478" s="129"/>
      <c r="J478" s="111">
        <v>284300</v>
      </c>
      <c r="K478" s="231"/>
    </row>
    <row r="479" spans="2:11" x14ac:dyDescent="0.2">
      <c r="B479" s="345">
        <v>43277</v>
      </c>
      <c r="C479" s="148"/>
      <c r="D479" s="148" t="s">
        <v>130</v>
      </c>
      <c r="E479" s="215"/>
      <c r="F479" s="216"/>
      <c r="G479" s="99"/>
      <c r="H479" s="100"/>
      <c r="I479" s="129"/>
      <c r="J479" s="111">
        <v>281000</v>
      </c>
      <c r="K479" s="231"/>
    </row>
    <row r="480" spans="2:11" x14ac:dyDescent="0.2">
      <c r="B480" s="345"/>
      <c r="C480" s="148"/>
      <c r="D480" s="148"/>
      <c r="E480" s="215"/>
      <c r="F480" s="216"/>
      <c r="G480" s="99"/>
      <c r="H480" s="100"/>
      <c r="I480" s="129"/>
      <c r="J480" s="111"/>
      <c r="K480" s="231"/>
    </row>
    <row r="481" spans="2:11" x14ac:dyDescent="0.2">
      <c r="B481" s="345"/>
      <c r="C481" s="148"/>
      <c r="D481" s="148"/>
      <c r="E481" s="215"/>
      <c r="F481" s="216"/>
      <c r="G481" s="99"/>
      <c r="H481" s="100"/>
      <c r="I481" s="129"/>
      <c r="J481" s="111"/>
      <c r="K481" s="231"/>
    </row>
    <row r="482" spans="2:11" x14ac:dyDescent="0.2">
      <c r="B482" s="345"/>
      <c r="C482" s="148"/>
      <c r="D482" s="148"/>
      <c r="E482" s="215"/>
      <c r="F482" s="216"/>
      <c r="G482" s="99"/>
      <c r="H482" s="100"/>
      <c r="I482" s="129"/>
      <c r="J482" s="111"/>
      <c r="K482" s="231"/>
    </row>
    <row r="483" spans="2:11" x14ac:dyDescent="0.2">
      <c r="B483" s="345"/>
      <c r="C483" s="148"/>
      <c r="D483" s="148"/>
      <c r="E483" s="215"/>
      <c r="F483" s="216"/>
      <c r="G483" s="99"/>
      <c r="H483" s="100"/>
      <c r="I483" s="129"/>
      <c r="J483" s="111"/>
      <c r="K483" s="231"/>
    </row>
    <row r="484" spans="2:11" x14ac:dyDescent="0.2">
      <c r="B484" s="345"/>
      <c r="C484" s="148"/>
      <c r="D484" s="148"/>
      <c r="E484" s="215"/>
      <c r="F484" s="216"/>
      <c r="G484" s="99"/>
      <c r="H484" s="100"/>
      <c r="I484" s="129"/>
      <c r="J484" s="111"/>
      <c r="K484" s="231"/>
    </row>
    <row r="485" spans="2:11" ht="15.75" x14ac:dyDescent="0.25">
      <c r="B485" s="343"/>
      <c r="C485" s="236" t="s">
        <v>100</v>
      </c>
      <c r="D485" s="236" t="s">
        <v>92</v>
      </c>
      <c r="E485" s="238">
        <v>40228819</v>
      </c>
      <c r="F485" s="239">
        <f>SUM(F486:F496)</f>
        <v>0</v>
      </c>
      <c r="G485" s="239">
        <f>SUM(G486:G496)</f>
        <v>0</v>
      </c>
      <c r="H485" s="239">
        <f>SUM(H486:H496)</f>
        <v>0</v>
      </c>
      <c r="I485" s="240">
        <f>ROUND((E485+F485+G485-H485),0)</f>
        <v>40228819</v>
      </c>
      <c r="J485" s="241">
        <f>SUM(J486:J496)</f>
        <v>22855851</v>
      </c>
      <c r="K485" s="242">
        <f>I485-J485</f>
        <v>17372968</v>
      </c>
    </row>
    <row r="486" spans="2:11" x14ac:dyDescent="0.2">
      <c r="B486" s="345">
        <v>43129</v>
      </c>
      <c r="C486" s="148"/>
      <c r="D486" s="148" t="s">
        <v>189</v>
      </c>
      <c r="E486" s="215"/>
      <c r="F486" s="216"/>
      <c r="G486" s="99"/>
      <c r="H486" s="100"/>
      <c r="I486" s="129"/>
      <c r="J486" s="111">
        <f>4286200-1203196</f>
        <v>3083004</v>
      </c>
      <c r="K486" s="231"/>
    </row>
    <row r="487" spans="2:11" x14ac:dyDescent="0.2">
      <c r="B487" s="345">
        <v>43157</v>
      </c>
      <c r="C487" s="148"/>
      <c r="D487" s="148" t="s">
        <v>204</v>
      </c>
      <c r="E487" s="215"/>
      <c r="F487" s="216"/>
      <c r="G487" s="99"/>
      <c r="H487" s="100"/>
      <c r="I487" s="129"/>
      <c r="J487" s="111">
        <f>5023900-1398466</f>
        <v>3625434</v>
      </c>
      <c r="K487" s="231"/>
    </row>
    <row r="488" spans="2:11" x14ac:dyDescent="0.2">
      <c r="B488" s="345">
        <v>43181</v>
      </c>
      <c r="C488" s="148"/>
      <c r="D488" s="148" t="s">
        <v>211</v>
      </c>
      <c r="E488" s="215"/>
      <c r="F488" s="216"/>
      <c r="G488" s="99"/>
      <c r="H488" s="100"/>
      <c r="I488" s="129"/>
      <c r="J488" s="111">
        <f>6065700-1657903</f>
        <v>4407797</v>
      </c>
      <c r="K488" s="231"/>
    </row>
    <row r="489" spans="2:11" x14ac:dyDescent="0.2">
      <c r="B489" s="345">
        <v>43214</v>
      </c>
      <c r="C489" s="148"/>
      <c r="D489" s="148" t="s">
        <v>225</v>
      </c>
      <c r="E489" s="215"/>
      <c r="F489" s="216"/>
      <c r="G489" s="99"/>
      <c r="H489" s="100"/>
      <c r="I489" s="129"/>
      <c r="J489" s="111">
        <f>5367900-1484944</f>
        <v>3882956</v>
      </c>
      <c r="K489" s="231"/>
    </row>
    <row r="490" spans="2:11" x14ac:dyDescent="0.2">
      <c r="B490" s="345"/>
      <c r="C490" s="148"/>
      <c r="D490" s="148" t="s">
        <v>237</v>
      </c>
      <c r="E490" s="215"/>
      <c r="F490" s="216"/>
      <c r="G490" s="99"/>
      <c r="H490" s="100"/>
      <c r="I490" s="129"/>
      <c r="J490" s="111">
        <f>5367900-1484944</f>
        <v>3882956</v>
      </c>
      <c r="K490" s="231"/>
    </row>
    <row r="491" spans="2:11" x14ac:dyDescent="0.2">
      <c r="B491" s="345">
        <v>43277</v>
      </c>
      <c r="C491" s="148"/>
      <c r="D491" s="148" t="s">
        <v>130</v>
      </c>
      <c r="E491" s="215"/>
      <c r="F491" s="216"/>
      <c r="G491" s="99"/>
      <c r="H491" s="100"/>
      <c r="I491" s="129"/>
      <c r="J491" s="111">
        <v>3973704</v>
      </c>
      <c r="K491" s="231"/>
    </row>
    <row r="492" spans="2:11" x14ac:dyDescent="0.2">
      <c r="B492" s="345"/>
      <c r="C492" s="148"/>
      <c r="D492" s="148"/>
      <c r="E492" s="215"/>
      <c r="F492" s="216"/>
      <c r="G492" s="99"/>
      <c r="H492" s="100"/>
      <c r="I492" s="129"/>
      <c r="J492" s="111"/>
      <c r="K492" s="231"/>
    </row>
    <row r="493" spans="2:11" x14ac:dyDescent="0.2">
      <c r="B493" s="345"/>
      <c r="C493" s="148"/>
      <c r="D493" s="148"/>
      <c r="E493" s="215"/>
      <c r="F493" s="216"/>
      <c r="G493" s="99"/>
      <c r="H493" s="100"/>
      <c r="I493" s="129"/>
      <c r="J493" s="111"/>
      <c r="K493" s="231"/>
    </row>
    <row r="494" spans="2:11" x14ac:dyDescent="0.2">
      <c r="B494" s="345"/>
      <c r="C494" s="148"/>
      <c r="D494" s="148"/>
      <c r="E494" s="215"/>
      <c r="F494" s="216"/>
      <c r="G494" s="99"/>
      <c r="H494" s="100"/>
      <c r="I494" s="129"/>
      <c r="J494" s="111"/>
      <c r="K494" s="231"/>
    </row>
    <row r="495" spans="2:11" x14ac:dyDescent="0.2">
      <c r="B495" s="345"/>
      <c r="C495" s="148"/>
      <c r="D495" s="148"/>
      <c r="E495" s="215"/>
      <c r="F495" s="216"/>
      <c r="G495" s="99"/>
      <c r="H495" s="100"/>
      <c r="I495" s="129"/>
      <c r="J495" s="111"/>
      <c r="K495" s="231"/>
    </row>
    <row r="496" spans="2:11" x14ac:dyDescent="0.2">
      <c r="B496" s="345"/>
      <c r="C496" s="148"/>
      <c r="D496" s="148"/>
      <c r="E496" s="215"/>
      <c r="F496" s="216"/>
      <c r="G496" s="99"/>
      <c r="H496" s="100"/>
      <c r="I496" s="129"/>
      <c r="J496" s="111"/>
      <c r="K496" s="231"/>
    </row>
    <row r="497" spans="2:11" ht="15.75" x14ac:dyDescent="0.25">
      <c r="B497" s="343"/>
      <c r="C497" s="236" t="s">
        <v>101</v>
      </c>
      <c r="D497" s="236" t="s">
        <v>102</v>
      </c>
      <c r="E497" s="238">
        <v>20419860</v>
      </c>
      <c r="F497" s="239">
        <f>SUM(F498:F509)</f>
        <v>0</v>
      </c>
      <c r="G497" s="239">
        <f>SUM(G498:G509)</f>
        <v>0</v>
      </c>
      <c r="H497" s="239">
        <f>SUM(H498:H509)</f>
        <v>0</v>
      </c>
      <c r="I497" s="240">
        <f>ROUND((E497+F497+G497-H497),0)</f>
        <v>20419860</v>
      </c>
      <c r="J497" s="241">
        <f>SUM(J498:J509)</f>
        <v>10585200</v>
      </c>
      <c r="K497" s="242">
        <f>I497-J497</f>
        <v>9834660</v>
      </c>
    </row>
    <row r="498" spans="2:11" x14ac:dyDescent="0.2">
      <c r="B498" s="345">
        <v>43129</v>
      </c>
      <c r="C498" s="148"/>
      <c r="D498" s="148" t="s">
        <v>183</v>
      </c>
      <c r="E498" s="215"/>
      <c r="F498" s="216"/>
      <c r="G498" s="99"/>
      <c r="H498" s="100"/>
      <c r="I498" s="129"/>
      <c r="J498" s="111">
        <v>1797800</v>
      </c>
      <c r="K498" s="231"/>
    </row>
    <row r="499" spans="2:11" x14ac:dyDescent="0.2">
      <c r="B499" s="345">
        <v>43157</v>
      </c>
      <c r="C499" s="148"/>
      <c r="D499" s="148" t="s">
        <v>199</v>
      </c>
      <c r="E499" s="215"/>
      <c r="F499" s="216"/>
      <c r="G499" s="99"/>
      <c r="H499" s="100"/>
      <c r="I499" s="129"/>
      <c r="J499" s="111">
        <v>1684300</v>
      </c>
      <c r="K499" s="231"/>
    </row>
    <row r="500" spans="2:11" x14ac:dyDescent="0.2">
      <c r="B500" s="345">
        <v>43181</v>
      </c>
      <c r="C500" s="148"/>
      <c r="D500" s="148" t="s">
        <v>127</v>
      </c>
      <c r="E500" s="215"/>
      <c r="F500" s="216"/>
      <c r="G500" s="99"/>
      <c r="H500" s="100"/>
      <c r="I500" s="129"/>
      <c r="J500" s="111">
        <v>1876800</v>
      </c>
      <c r="K500" s="231"/>
    </row>
    <row r="501" spans="2:11" x14ac:dyDescent="0.2">
      <c r="B501" s="345">
        <v>43214</v>
      </c>
      <c r="C501" s="148"/>
      <c r="D501" s="148" t="s">
        <v>128</v>
      </c>
      <c r="E501" s="215"/>
      <c r="F501" s="216"/>
      <c r="G501" s="99"/>
      <c r="H501" s="100"/>
      <c r="I501" s="129"/>
      <c r="J501" s="111">
        <v>1318600</v>
      </c>
      <c r="K501" s="231"/>
    </row>
    <row r="502" spans="2:11" x14ac:dyDescent="0.2">
      <c r="B502" s="345">
        <v>43244</v>
      </c>
      <c r="C502" s="148"/>
      <c r="D502" s="148" t="s">
        <v>129</v>
      </c>
      <c r="E502" s="215"/>
      <c r="F502" s="216"/>
      <c r="G502" s="99"/>
      <c r="H502" s="100"/>
      <c r="I502" s="129"/>
      <c r="J502" s="111">
        <v>1676400</v>
      </c>
      <c r="K502" s="231"/>
    </row>
    <row r="503" spans="2:11" x14ac:dyDescent="0.2">
      <c r="B503" s="345">
        <v>43277</v>
      </c>
      <c r="C503" s="148"/>
      <c r="D503" s="148" t="s">
        <v>130</v>
      </c>
      <c r="E503" s="215"/>
      <c r="F503" s="216"/>
      <c r="G503" s="99"/>
      <c r="H503" s="100"/>
      <c r="I503" s="129"/>
      <c r="J503" s="111">
        <v>2231300</v>
      </c>
      <c r="K503" s="231"/>
    </row>
    <row r="504" spans="2:11" x14ac:dyDescent="0.2">
      <c r="B504" s="345"/>
      <c r="C504" s="148"/>
      <c r="D504" s="148"/>
      <c r="E504" s="215"/>
      <c r="F504" s="216"/>
      <c r="G504" s="99"/>
      <c r="H504" s="100"/>
      <c r="I504" s="129"/>
      <c r="J504" s="111"/>
      <c r="K504" s="231"/>
    </row>
    <row r="505" spans="2:11" x14ac:dyDescent="0.2">
      <c r="B505" s="345"/>
      <c r="C505" s="148"/>
      <c r="D505" s="148"/>
      <c r="E505" s="215"/>
      <c r="F505" s="216"/>
      <c r="G505" s="99"/>
      <c r="H505" s="100"/>
      <c r="I505" s="129"/>
      <c r="J505" s="111"/>
      <c r="K505" s="231"/>
    </row>
    <row r="506" spans="2:11" x14ac:dyDescent="0.2">
      <c r="B506" s="345"/>
      <c r="C506" s="148"/>
      <c r="D506" s="148"/>
      <c r="E506" s="215"/>
      <c r="F506" s="216"/>
      <c r="G506" s="99"/>
      <c r="H506" s="100"/>
      <c r="I506" s="129"/>
      <c r="J506" s="111"/>
      <c r="K506" s="231"/>
    </row>
    <row r="507" spans="2:11" x14ac:dyDescent="0.2">
      <c r="B507" s="345"/>
      <c r="C507" s="148"/>
      <c r="D507" s="148"/>
      <c r="E507" s="215"/>
      <c r="F507" s="216"/>
      <c r="G507" s="99"/>
      <c r="H507" s="100"/>
      <c r="I507" s="129"/>
      <c r="J507" s="111"/>
      <c r="K507" s="231"/>
    </row>
    <row r="508" spans="2:11" x14ac:dyDescent="0.2">
      <c r="B508" s="345"/>
      <c r="C508" s="148"/>
      <c r="D508" s="148"/>
      <c r="E508" s="215"/>
      <c r="F508" s="216"/>
      <c r="G508" s="99"/>
      <c r="H508" s="100"/>
      <c r="I508" s="129"/>
      <c r="J508" s="111"/>
      <c r="K508" s="231"/>
    </row>
    <row r="509" spans="2:11" x14ac:dyDescent="0.2">
      <c r="B509" s="345"/>
      <c r="C509" s="148"/>
      <c r="D509" s="148"/>
      <c r="E509" s="215"/>
      <c r="F509" s="216"/>
      <c r="G509" s="99"/>
      <c r="H509" s="100"/>
      <c r="I509" s="129"/>
      <c r="J509" s="111"/>
      <c r="K509" s="231"/>
    </row>
    <row r="510" spans="2:11" ht="15.75" x14ac:dyDescent="0.25">
      <c r="B510" s="343"/>
      <c r="C510" s="236" t="s">
        <v>103</v>
      </c>
      <c r="D510" s="236" t="s">
        <v>104</v>
      </c>
      <c r="E510" s="238">
        <v>15314892</v>
      </c>
      <c r="F510" s="239">
        <f>SUM(F511:F525)</f>
        <v>0</v>
      </c>
      <c r="G510" s="239">
        <f>SUM(G511:G525)</f>
        <v>0</v>
      </c>
      <c r="H510" s="239">
        <f>SUM(H511:H525)</f>
        <v>0</v>
      </c>
      <c r="I510" s="240">
        <f>ROUND((E510+F510+G510-H510),0)</f>
        <v>15314892</v>
      </c>
      <c r="J510" s="241">
        <f>SUM(J511:J525)</f>
        <v>7971700</v>
      </c>
      <c r="K510" s="242">
        <f>I510-J510</f>
        <v>7343192</v>
      </c>
    </row>
    <row r="511" spans="2:11" x14ac:dyDescent="0.2">
      <c r="B511" s="345">
        <v>43129</v>
      </c>
      <c r="C511" s="148"/>
      <c r="D511" s="148" t="s">
        <v>183</v>
      </c>
      <c r="E511" s="215"/>
      <c r="F511" s="216"/>
      <c r="G511" s="99"/>
      <c r="H511" s="100"/>
      <c r="I511" s="129"/>
      <c r="J511" s="111">
        <v>1348600</v>
      </c>
      <c r="K511" s="231"/>
    </row>
    <row r="512" spans="2:11" x14ac:dyDescent="0.2">
      <c r="B512" s="345">
        <v>43157</v>
      </c>
      <c r="C512" s="148"/>
      <c r="D512" s="148" t="s">
        <v>199</v>
      </c>
      <c r="E512" s="215"/>
      <c r="F512" s="216"/>
      <c r="G512" s="99"/>
      <c r="H512" s="100"/>
      <c r="I512" s="129"/>
      <c r="J512" s="111">
        <v>1263400</v>
      </c>
      <c r="K512" s="231"/>
    </row>
    <row r="513" spans="2:11" x14ac:dyDescent="0.2">
      <c r="B513" s="345">
        <v>43181</v>
      </c>
      <c r="C513" s="148"/>
      <c r="D513" s="148" t="s">
        <v>127</v>
      </c>
      <c r="E513" s="215"/>
      <c r="F513" s="216"/>
      <c r="G513" s="99"/>
      <c r="H513" s="100"/>
      <c r="I513" s="129"/>
      <c r="J513" s="111">
        <v>1407600</v>
      </c>
      <c r="K513" s="231"/>
    </row>
    <row r="514" spans="2:11" x14ac:dyDescent="0.2">
      <c r="B514" s="345">
        <v>43215</v>
      </c>
      <c r="C514" s="148"/>
      <c r="D514" s="148" t="s">
        <v>128</v>
      </c>
      <c r="E514" s="215"/>
      <c r="F514" s="216"/>
      <c r="G514" s="99"/>
      <c r="H514" s="100"/>
      <c r="I514" s="129"/>
      <c r="J514" s="111">
        <v>989100</v>
      </c>
      <c r="K514" s="231"/>
    </row>
    <row r="515" spans="2:11" x14ac:dyDescent="0.2">
      <c r="B515" s="345">
        <v>43244</v>
      </c>
      <c r="C515" s="148"/>
      <c r="D515" s="148" t="s">
        <v>129</v>
      </c>
      <c r="E515" s="215"/>
      <c r="F515" s="216"/>
      <c r="G515" s="99"/>
      <c r="H515" s="100"/>
      <c r="I515" s="129"/>
      <c r="J515" s="111">
        <v>1289500</v>
      </c>
      <c r="K515" s="231"/>
    </row>
    <row r="516" spans="2:11" x14ac:dyDescent="0.2">
      <c r="B516" s="345">
        <v>43277</v>
      </c>
      <c r="C516" s="148"/>
      <c r="D516" s="148" t="s">
        <v>130</v>
      </c>
      <c r="E516" s="215"/>
      <c r="F516" s="216"/>
      <c r="G516" s="99"/>
      <c r="H516" s="100"/>
      <c r="I516" s="129"/>
      <c r="J516" s="111">
        <v>1673500</v>
      </c>
      <c r="K516" s="231"/>
    </row>
    <row r="517" spans="2:11" x14ac:dyDescent="0.2">
      <c r="B517" s="345"/>
      <c r="C517" s="148"/>
      <c r="D517" s="148"/>
      <c r="E517" s="215"/>
      <c r="F517" s="216"/>
      <c r="G517" s="99"/>
      <c r="H517" s="100"/>
      <c r="I517" s="129"/>
      <c r="J517" s="111"/>
      <c r="K517" s="231"/>
    </row>
    <row r="518" spans="2:11" x14ac:dyDescent="0.2">
      <c r="B518" s="345"/>
      <c r="C518" s="148"/>
      <c r="D518" s="148"/>
      <c r="E518" s="215"/>
      <c r="F518" s="216"/>
      <c r="G518" s="99"/>
      <c r="H518" s="100"/>
      <c r="I518" s="129"/>
      <c r="J518" s="111"/>
      <c r="K518" s="231"/>
    </row>
    <row r="519" spans="2:11" x14ac:dyDescent="0.2">
      <c r="B519" s="345"/>
      <c r="C519" s="148"/>
      <c r="D519" s="148"/>
      <c r="E519" s="215"/>
      <c r="F519" s="216"/>
      <c r="G519" s="99"/>
      <c r="H519" s="100"/>
      <c r="I519" s="129"/>
      <c r="J519" s="111"/>
      <c r="K519" s="231"/>
    </row>
    <row r="520" spans="2:11" x14ac:dyDescent="0.2">
      <c r="B520" s="345"/>
      <c r="C520" s="148"/>
      <c r="D520" s="148"/>
      <c r="E520" s="215"/>
      <c r="F520" s="216"/>
      <c r="G520" s="99"/>
      <c r="H520" s="100"/>
      <c r="I520" s="129"/>
      <c r="J520" s="111"/>
      <c r="K520" s="231"/>
    </row>
    <row r="521" spans="2:11" x14ac:dyDescent="0.2">
      <c r="B521" s="345"/>
      <c r="C521" s="148"/>
      <c r="D521" s="148"/>
      <c r="E521" s="215"/>
      <c r="F521" s="216"/>
      <c r="G521" s="99"/>
      <c r="H521" s="100"/>
      <c r="I521" s="129"/>
      <c r="J521" s="111"/>
      <c r="K521" s="231"/>
    </row>
    <row r="522" spans="2:11" x14ac:dyDescent="0.2">
      <c r="B522" s="345"/>
      <c r="C522" s="148"/>
      <c r="D522" s="148"/>
      <c r="E522" s="215"/>
      <c r="F522" s="216"/>
      <c r="G522" s="99"/>
      <c r="H522" s="100"/>
      <c r="I522" s="129"/>
      <c r="J522" s="111"/>
      <c r="K522" s="231"/>
    </row>
    <row r="523" spans="2:11" x14ac:dyDescent="0.2">
      <c r="B523" s="345"/>
      <c r="C523" s="148"/>
      <c r="D523" s="148"/>
      <c r="E523" s="215"/>
      <c r="F523" s="216"/>
      <c r="G523" s="99"/>
      <c r="H523" s="100"/>
      <c r="I523" s="129"/>
      <c r="J523" s="111"/>
      <c r="K523" s="231"/>
    </row>
    <row r="524" spans="2:11" x14ac:dyDescent="0.2">
      <c r="B524" s="345"/>
      <c r="C524" s="148"/>
      <c r="D524" s="148"/>
      <c r="E524" s="215"/>
      <c r="F524" s="216"/>
      <c r="G524" s="99"/>
      <c r="H524" s="100"/>
      <c r="I524" s="129"/>
      <c r="J524" s="111"/>
      <c r="K524" s="231"/>
    </row>
    <row r="525" spans="2:11" x14ac:dyDescent="0.2">
      <c r="B525" s="345"/>
      <c r="C525" s="148"/>
      <c r="D525" s="148"/>
      <c r="E525" s="215"/>
      <c r="F525" s="216"/>
      <c r="G525" s="99"/>
      <c r="H525" s="100"/>
      <c r="I525" s="129"/>
      <c r="J525" s="111"/>
      <c r="K525" s="231"/>
    </row>
    <row r="526" spans="2:11" ht="15.75" x14ac:dyDescent="0.25">
      <c r="B526" s="343"/>
      <c r="C526" s="236" t="s">
        <v>105</v>
      </c>
      <c r="D526" s="236" t="s">
        <v>106</v>
      </c>
      <c r="E526" s="238">
        <v>2552484</v>
      </c>
      <c r="F526" s="239">
        <f>SUM(F527:F539)</f>
        <v>0</v>
      </c>
      <c r="G526" s="239">
        <f>SUM(G527:G539)</f>
        <v>0</v>
      </c>
      <c r="H526" s="239">
        <f>SUM(H527:H539)</f>
        <v>0</v>
      </c>
      <c r="I526" s="240">
        <f>ROUND((E526+F526+G526-H526),0)</f>
        <v>2552484</v>
      </c>
      <c r="J526" s="241">
        <f>SUM(J527:J539)</f>
        <v>1331300</v>
      </c>
      <c r="K526" s="242">
        <f>I526-J526</f>
        <v>1221184</v>
      </c>
    </row>
    <row r="527" spans="2:11" x14ac:dyDescent="0.2">
      <c r="B527" s="345">
        <v>43129</v>
      </c>
      <c r="C527" s="148"/>
      <c r="D527" s="148" t="s">
        <v>183</v>
      </c>
      <c r="E527" s="215"/>
      <c r="F527" s="216"/>
      <c r="G527" s="99"/>
      <c r="H527" s="100"/>
      <c r="I527" s="129"/>
      <c r="J527" s="111">
        <v>225200</v>
      </c>
      <c r="K527" s="231"/>
    </row>
    <row r="528" spans="2:11" x14ac:dyDescent="0.2">
      <c r="B528" s="345">
        <v>43157</v>
      </c>
      <c r="C528" s="148"/>
      <c r="D528" s="148" t="s">
        <v>199</v>
      </c>
      <c r="E528" s="215"/>
      <c r="F528" s="216"/>
      <c r="G528" s="99"/>
      <c r="H528" s="100"/>
      <c r="I528" s="129"/>
      <c r="J528" s="111">
        <v>211000</v>
      </c>
      <c r="K528" s="231"/>
    </row>
    <row r="529" spans="2:11" x14ac:dyDescent="0.2">
      <c r="B529" s="345">
        <v>43181</v>
      </c>
      <c r="C529" s="148"/>
      <c r="D529" s="148" t="s">
        <v>127</v>
      </c>
      <c r="E529" s="215"/>
      <c r="F529" s="216"/>
      <c r="G529" s="99"/>
      <c r="H529" s="100"/>
      <c r="I529" s="129"/>
      <c r="J529" s="111">
        <v>235100</v>
      </c>
      <c r="K529" s="231"/>
    </row>
    <row r="530" spans="2:11" x14ac:dyDescent="0.2">
      <c r="B530" s="345">
        <v>43214</v>
      </c>
      <c r="C530" s="148"/>
      <c r="D530" s="148" t="s">
        <v>128</v>
      </c>
      <c r="E530" s="215"/>
      <c r="F530" s="216"/>
      <c r="G530" s="99"/>
      <c r="H530" s="100"/>
      <c r="I530" s="129"/>
      <c r="J530" s="111">
        <v>165300</v>
      </c>
      <c r="K530" s="231"/>
    </row>
    <row r="531" spans="2:11" x14ac:dyDescent="0.2">
      <c r="B531" s="345">
        <v>43244</v>
      </c>
      <c r="C531" s="148"/>
      <c r="D531" s="148" t="s">
        <v>129</v>
      </c>
      <c r="E531" s="215"/>
      <c r="F531" s="216"/>
      <c r="G531" s="99"/>
      <c r="H531" s="100"/>
      <c r="I531" s="129"/>
      <c r="J531" s="111">
        <v>215400</v>
      </c>
      <c r="K531" s="231"/>
    </row>
    <row r="532" spans="2:11" x14ac:dyDescent="0.2">
      <c r="B532" s="345">
        <v>43277</v>
      </c>
      <c r="C532" s="148"/>
      <c r="D532" s="148" t="s">
        <v>130</v>
      </c>
      <c r="E532" s="215"/>
      <c r="F532" s="216"/>
      <c r="G532" s="99"/>
      <c r="H532" s="100"/>
      <c r="I532" s="129"/>
      <c r="J532" s="111">
        <v>279300</v>
      </c>
      <c r="K532" s="231"/>
    </row>
    <row r="533" spans="2:11" x14ac:dyDescent="0.2">
      <c r="B533" s="345"/>
      <c r="C533" s="148"/>
      <c r="D533" s="148"/>
      <c r="E533" s="215"/>
      <c r="F533" s="216"/>
      <c r="G533" s="99"/>
      <c r="H533" s="100"/>
      <c r="I533" s="129"/>
      <c r="J533" s="111"/>
      <c r="K533" s="231"/>
    </row>
    <row r="534" spans="2:11" x14ac:dyDescent="0.2">
      <c r="B534" s="345"/>
      <c r="C534" s="148"/>
      <c r="D534" s="148"/>
      <c r="E534" s="215"/>
      <c r="F534" s="216"/>
      <c r="G534" s="99"/>
      <c r="H534" s="100"/>
      <c r="I534" s="129"/>
      <c r="J534" s="111"/>
      <c r="K534" s="231"/>
    </row>
    <row r="535" spans="2:11" x14ac:dyDescent="0.2">
      <c r="B535" s="345"/>
      <c r="C535" s="148"/>
      <c r="D535" s="148"/>
      <c r="E535" s="215"/>
      <c r="F535" s="216"/>
      <c r="G535" s="99"/>
      <c r="H535" s="100"/>
      <c r="I535" s="129"/>
      <c r="J535" s="111"/>
      <c r="K535" s="231"/>
    </row>
    <row r="536" spans="2:11" x14ac:dyDescent="0.2">
      <c r="B536" s="345"/>
      <c r="C536" s="148"/>
      <c r="D536" s="148"/>
      <c r="E536" s="215"/>
      <c r="F536" s="216"/>
      <c r="G536" s="99"/>
      <c r="H536" s="100"/>
      <c r="I536" s="129"/>
      <c r="J536" s="111"/>
      <c r="K536" s="231"/>
    </row>
    <row r="537" spans="2:11" x14ac:dyDescent="0.2">
      <c r="B537" s="345"/>
      <c r="C537" s="148"/>
      <c r="D537" s="148"/>
      <c r="E537" s="215"/>
      <c r="F537" s="216"/>
      <c r="G537" s="99"/>
      <c r="H537" s="100"/>
      <c r="I537" s="129"/>
      <c r="J537" s="111"/>
      <c r="K537" s="231"/>
    </row>
    <row r="538" spans="2:11" x14ac:dyDescent="0.2">
      <c r="B538" s="345"/>
      <c r="C538" s="148"/>
      <c r="D538" s="148"/>
      <c r="E538" s="215"/>
      <c r="F538" s="216"/>
      <c r="G538" s="99"/>
      <c r="H538" s="100"/>
      <c r="I538" s="129"/>
      <c r="J538" s="111"/>
      <c r="K538" s="231"/>
    </row>
    <row r="539" spans="2:11" x14ac:dyDescent="0.2">
      <c r="B539" s="345"/>
      <c r="C539" s="148"/>
      <c r="D539" s="148"/>
      <c r="E539" s="215"/>
      <c r="F539" s="216"/>
      <c r="G539" s="99"/>
      <c r="H539" s="100"/>
      <c r="I539" s="129"/>
      <c r="J539" s="111"/>
      <c r="K539" s="231"/>
    </row>
    <row r="540" spans="2:11" ht="15.75" x14ac:dyDescent="0.25">
      <c r="B540" s="343"/>
      <c r="C540" s="236" t="s">
        <v>107</v>
      </c>
      <c r="D540" s="236" t="s">
        <v>108</v>
      </c>
      <c r="E540" s="238">
        <v>2552484</v>
      </c>
      <c r="F540" s="239">
        <f>SUM(F541:F558)</f>
        <v>0</v>
      </c>
      <c r="G540" s="239">
        <f>SUM(G541:G558)</f>
        <v>0</v>
      </c>
      <c r="H540" s="239">
        <f>SUM(H541:H558)</f>
        <v>0</v>
      </c>
      <c r="I540" s="240">
        <f>ROUND((E540+F540+G540-H540),0)</f>
        <v>2552484</v>
      </c>
      <c r="J540" s="241">
        <f>SUM(J541:J558)</f>
        <v>1331300</v>
      </c>
      <c r="K540" s="242">
        <f>I540-J540</f>
        <v>1221184</v>
      </c>
    </row>
    <row r="541" spans="2:11" x14ac:dyDescent="0.2">
      <c r="B541" s="345">
        <v>43129</v>
      </c>
      <c r="C541" s="148"/>
      <c r="D541" s="148" t="s">
        <v>183</v>
      </c>
      <c r="E541" s="215"/>
      <c r="F541" s="216"/>
      <c r="G541" s="99"/>
      <c r="H541" s="100"/>
      <c r="I541" s="129"/>
      <c r="J541" s="111">
        <v>225200</v>
      </c>
      <c r="K541" s="231"/>
    </row>
    <row r="542" spans="2:11" x14ac:dyDescent="0.2">
      <c r="B542" s="345">
        <v>43157</v>
      </c>
      <c r="C542" s="148"/>
      <c r="D542" s="148" t="s">
        <v>199</v>
      </c>
      <c r="E542" s="215"/>
      <c r="F542" s="216"/>
      <c r="G542" s="99"/>
      <c r="H542" s="100"/>
      <c r="I542" s="129"/>
      <c r="J542" s="111">
        <v>211000</v>
      </c>
      <c r="K542" s="231"/>
    </row>
    <row r="543" spans="2:11" x14ac:dyDescent="0.2">
      <c r="B543" s="345">
        <v>43181</v>
      </c>
      <c r="C543" s="148"/>
      <c r="D543" s="148" t="s">
        <v>127</v>
      </c>
      <c r="E543" s="215"/>
      <c r="F543" s="216"/>
      <c r="G543" s="99"/>
      <c r="H543" s="100"/>
      <c r="I543" s="129"/>
      <c r="J543" s="111">
        <v>235100</v>
      </c>
      <c r="K543" s="231"/>
    </row>
    <row r="544" spans="2:11" x14ac:dyDescent="0.2">
      <c r="B544" s="345">
        <v>43214</v>
      </c>
      <c r="C544" s="148"/>
      <c r="D544" s="148" t="s">
        <v>128</v>
      </c>
      <c r="E544" s="215"/>
      <c r="F544" s="216"/>
      <c r="G544" s="99"/>
      <c r="H544" s="100"/>
      <c r="I544" s="129"/>
      <c r="J544" s="111">
        <v>165300</v>
      </c>
      <c r="K544" s="231"/>
    </row>
    <row r="545" spans="2:11" x14ac:dyDescent="0.2">
      <c r="B545" s="345">
        <v>43244</v>
      </c>
      <c r="C545" s="148"/>
      <c r="D545" s="148" t="s">
        <v>129</v>
      </c>
      <c r="E545" s="215"/>
      <c r="F545" s="216"/>
      <c r="G545" s="99"/>
      <c r="H545" s="100"/>
      <c r="I545" s="129"/>
      <c r="J545" s="111">
        <v>215400</v>
      </c>
      <c r="K545" s="231"/>
    </row>
    <row r="546" spans="2:11" x14ac:dyDescent="0.2">
      <c r="B546" s="345">
        <v>43277</v>
      </c>
      <c r="C546" s="148"/>
      <c r="D546" s="148" t="s">
        <v>130</v>
      </c>
      <c r="E546" s="215"/>
      <c r="F546" s="216"/>
      <c r="G546" s="99"/>
      <c r="H546" s="100"/>
      <c r="I546" s="129"/>
      <c r="J546" s="111">
        <v>279300</v>
      </c>
      <c r="K546" s="231"/>
    </row>
    <row r="547" spans="2:11" x14ac:dyDescent="0.2">
      <c r="B547" s="345"/>
      <c r="C547" s="148"/>
      <c r="D547" s="148"/>
      <c r="E547" s="215"/>
      <c r="F547" s="216"/>
      <c r="G547" s="99"/>
      <c r="H547" s="100"/>
      <c r="I547" s="129"/>
      <c r="J547" s="111"/>
      <c r="K547" s="231"/>
    </row>
    <row r="548" spans="2:11" x14ac:dyDescent="0.2">
      <c r="B548" s="345"/>
      <c r="C548" s="148"/>
      <c r="D548" s="148"/>
      <c r="E548" s="215"/>
      <c r="F548" s="216"/>
      <c r="G548" s="99"/>
      <c r="H548" s="100"/>
      <c r="I548" s="129"/>
      <c r="J548" s="111"/>
      <c r="K548" s="231"/>
    </row>
    <row r="549" spans="2:11" x14ac:dyDescent="0.2">
      <c r="B549" s="345"/>
      <c r="C549" s="148"/>
      <c r="D549" s="148"/>
      <c r="E549" s="215"/>
      <c r="F549" s="216"/>
      <c r="G549" s="99"/>
      <c r="H549" s="100"/>
      <c r="I549" s="129"/>
      <c r="J549" s="111"/>
      <c r="K549" s="231"/>
    </row>
    <row r="550" spans="2:11" x14ac:dyDescent="0.2">
      <c r="B550" s="345"/>
      <c r="C550" s="148"/>
      <c r="D550" s="148"/>
      <c r="E550" s="215"/>
      <c r="F550" s="216"/>
      <c r="G550" s="99"/>
      <c r="H550" s="100"/>
      <c r="I550" s="129"/>
      <c r="J550" s="111"/>
      <c r="K550" s="231"/>
    </row>
    <row r="551" spans="2:11" x14ac:dyDescent="0.2">
      <c r="B551" s="345"/>
      <c r="C551" s="148"/>
      <c r="D551" s="148"/>
      <c r="E551" s="215"/>
      <c r="F551" s="216"/>
      <c r="G551" s="99"/>
      <c r="H551" s="100"/>
      <c r="I551" s="129"/>
      <c r="J551" s="111"/>
      <c r="K551" s="231"/>
    </row>
    <row r="552" spans="2:11" x14ac:dyDescent="0.2">
      <c r="B552" s="345"/>
      <c r="C552" s="148"/>
      <c r="D552" s="148"/>
      <c r="E552" s="215"/>
      <c r="F552" s="216"/>
      <c r="G552" s="99"/>
      <c r="H552" s="100"/>
      <c r="I552" s="129"/>
      <c r="J552" s="111"/>
      <c r="K552" s="231"/>
    </row>
    <row r="553" spans="2:11" x14ac:dyDescent="0.2">
      <c r="B553" s="345"/>
      <c r="C553" s="148"/>
      <c r="D553" s="148"/>
      <c r="E553" s="215"/>
      <c r="F553" s="216"/>
      <c r="G553" s="99"/>
      <c r="H553" s="100"/>
      <c r="I553" s="129"/>
      <c r="J553" s="111"/>
      <c r="K553" s="231"/>
    </row>
    <row r="554" spans="2:11" x14ac:dyDescent="0.2">
      <c r="B554" s="345"/>
      <c r="C554" s="148"/>
      <c r="D554" s="148"/>
      <c r="E554" s="215"/>
      <c r="F554" s="216"/>
      <c r="G554" s="99"/>
      <c r="H554" s="100"/>
      <c r="I554" s="129"/>
      <c r="J554" s="111"/>
      <c r="K554" s="231"/>
    </row>
    <row r="555" spans="2:11" x14ac:dyDescent="0.2">
      <c r="B555" s="345"/>
      <c r="C555" s="148"/>
      <c r="D555" s="148"/>
      <c r="E555" s="215"/>
      <c r="F555" s="216"/>
      <c r="G555" s="99"/>
      <c r="H555" s="100"/>
      <c r="I555" s="129"/>
      <c r="J555" s="111"/>
      <c r="K555" s="231"/>
    </row>
    <row r="556" spans="2:11" x14ac:dyDescent="0.2">
      <c r="B556" s="345"/>
      <c r="C556" s="148"/>
      <c r="D556" s="148"/>
      <c r="E556" s="215"/>
      <c r="F556" s="216"/>
      <c r="G556" s="99"/>
      <c r="H556" s="100"/>
      <c r="I556" s="129"/>
      <c r="J556" s="111"/>
      <c r="K556" s="231"/>
    </row>
    <row r="557" spans="2:11" x14ac:dyDescent="0.2">
      <c r="B557" s="345"/>
      <c r="C557" s="148"/>
      <c r="D557" s="148"/>
      <c r="E557" s="215"/>
      <c r="F557" s="216"/>
      <c r="G557" s="99"/>
      <c r="H557" s="100"/>
      <c r="I557" s="129"/>
      <c r="J557" s="111"/>
      <c r="K557" s="231"/>
    </row>
    <row r="558" spans="2:11" x14ac:dyDescent="0.2">
      <c r="B558" s="345"/>
      <c r="C558" s="148"/>
      <c r="D558" s="148"/>
      <c r="E558" s="215"/>
      <c r="F558" s="216"/>
      <c r="G558" s="99"/>
      <c r="H558" s="100"/>
      <c r="I558" s="129"/>
      <c r="J558" s="111"/>
      <c r="K558" s="231"/>
    </row>
    <row r="559" spans="2:11" ht="15.75" x14ac:dyDescent="0.25">
      <c r="B559" s="343"/>
      <c r="C559" s="236" t="s">
        <v>109</v>
      </c>
      <c r="D559" s="236" t="s">
        <v>110</v>
      </c>
      <c r="E559" s="238">
        <v>5104968</v>
      </c>
      <c r="F559" s="239">
        <f>SUM(F560:F568)</f>
        <v>0</v>
      </c>
      <c r="G559" s="239">
        <f>SUM(G560:G568)</f>
        <v>0</v>
      </c>
      <c r="H559" s="239">
        <f>SUM(H560:H568)</f>
        <v>0</v>
      </c>
      <c r="I559" s="240">
        <f>ROUND((E559+F559+G559-H559),0)</f>
        <v>5104968</v>
      </c>
      <c r="J559" s="241">
        <f>SUM(J560:J568)</f>
        <v>2101400</v>
      </c>
      <c r="K559" s="242">
        <f>I559-J559</f>
        <v>3003568</v>
      </c>
    </row>
    <row r="560" spans="2:11" x14ac:dyDescent="0.2">
      <c r="B560" s="345">
        <v>43129</v>
      </c>
      <c r="C560" s="148"/>
      <c r="D560" s="148" t="s">
        <v>183</v>
      </c>
      <c r="E560" s="215"/>
      <c r="F560" s="216"/>
      <c r="G560" s="99"/>
      <c r="H560" s="100"/>
      <c r="I560" s="129"/>
      <c r="J560" s="111">
        <v>449900</v>
      </c>
      <c r="K560" s="231"/>
    </row>
    <row r="561" spans="2:11" x14ac:dyDescent="0.2">
      <c r="B561" s="345">
        <v>43157</v>
      </c>
      <c r="C561" s="148"/>
      <c r="D561" s="148" t="s">
        <v>199</v>
      </c>
      <c r="E561" s="215"/>
      <c r="F561" s="216"/>
      <c r="G561" s="99"/>
      <c r="H561" s="100"/>
      <c r="I561" s="129"/>
      <c r="J561" s="111">
        <v>421500</v>
      </c>
      <c r="K561" s="231"/>
    </row>
    <row r="562" spans="2:11" x14ac:dyDescent="0.2">
      <c r="B562" s="345">
        <v>43181</v>
      </c>
      <c r="C562" s="148"/>
      <c r="D562" s="148" t="s">
        <v>127</v>
      </c>
      <c r="E562" s="215"/>
      <c r="F562" s="216"/>
      <c r="G562" s="99"/>
      <c r="H562" s="100"/>
      <c r="I562" s="129"/>
      <c r="J562" s="111">
        <v>469600</v>
      </c>
      <c r="K562" s="231"/>
    </row>
    <row r="563" spans="2:11" x14ac:dyDescent="0.2">
      <c r="B563" s="345">
        <v>43215</v>
      </c>
      <c r="C563" s="148"/>
      <c r="D563" s="148" t="s">
        <v>128</v>
      </c>
      <c r="E563" s="215"/>
      <c r="F563" s="216"/>
      <c r="G563" s="99"/>
      <c r="H563" s="100"/>
      <c r="I563" s="129"/>
      <c r="J563" s="111">
        <v>330100</v>
      </c>
      <c r="K563" s="231"/>
    </row>
    <row r="564" spans="2:11" x14ac:dyDescent="0.2">
      <c r="B564" s="345">
        <v>43244</v>
      </c>
      <c r="C564" s="148"/>
      <c r="D564" s="148" t="s">
        <v>129</v>
      </c>
      <c r="E564" s="215"/>
      <c r="F564" s="216"/>
      <c r="G564" s="99"/>
      <c r="H564" s="100"/>
      <c r="I564" s="129"/>
      <c r="J564" s="111">
        <v>430300</v>
      </c>
      <c r="K564" s="231"/>
    </row>
    <row r="565" spans="2:11" x14ac:dyDescent="0.2">
      <c r="B565" s="345">
        <v>43277</v>
      </c>
      <c r="C565" s="148"/>
      <c r="D565" s="148" t="s">
        <v>130</v>
      </c>
      <c r="E565" s="215"/>
      <c r="F565" s="216"/>
      <c r="G565" s="99"/>
      <c r="H565" s="100"/>
      <c r="I565" s="129"/>
      <c r="J565" s="111"/>
      <c r="K565" s="231"/>
    </row>
    <row r="566" spans="2:11" x14ac:dyDescent="0.2">
      <c r="B566" s="345"/>
      <c r="C566" s="148"/>
      <c r="D566" s="148"/>
      <c r="E566" s="215"/>
      <c r="F566" s="216"/>
      <c r="G566" s="99"/>
      <c r="H566" s="100"/>
      <c r="I566" s="129"/>
      <c r="J566" s="111"/>
      <c r="K566" s="231"/>
    </row>
    <row r="567" spans="2:11" x14ac:dyDescent="0.2">
      <c r="B567" s="345"/>
      <c r="C567" s="148"/>
      <c r="D567" s="148"/>
      <c r="E567" s="215"/>
      <c r="F567" s="216"/>
      <c r="G567" s="99"/>
      <c r="H567" s="100"/>
      <c r="I567" s="129"/>
      <c r="J567" s="111"/>
      <c r="K567" s="231"/>
    </row>
    <row r="568" spans="2:11" x14ac:dyDescent="0.2">
      <c r="B568" s="345"/>
      <c r="C568" s="148"/>
      <c r="D568" s="148"/>
      <c r="E568" s="215"/>
      <c r="F568" s="216"/>
      <c r="G568" s="99"/>
      <c r="H568" s="100"/>
      <c r="I568" s="129"/>
      <c r="J568" s="111"/>
      <c r="K568" s="231"/>
    </row>
    <row r="569" spans="2:11" ht="15.75" x14ac:dyDescent="0.25">
      <c r="B569" s="343"/>
      <c r="C569" s="236" t="s">
        <v>111</v>
      </c>
      <c r="D569" s="236" t="s">
        <v>112</v>
      </c>
      <c r="E569" s="238">
        <v>0</v>
      </c>
      <c r="F569" s="240">
        <f>SUM(F570:F577)</f>
        <v>0</v>
      </c>
      <c r="G569" s="240">
        <f>SUM(G570:G577)</f>
        <v>0</v>
      </c>
      <c r="H569" s="240">
        <f>SUM(H570:H577)</f>
        <v>0</v>
      </c>
      <c r="I569" s="240">
        <f>ROUND((E569+F569+G569-H569),0)</f>
        <v>0</v>
      </c>
      <c r="J569" s="300">
        <f>E569+F569+G569-H569</f>
        <v>0</v>
      </c>
      <c r="K569" s="301">
        <f>I569-J569</f>
        <v>0</v>
      </c>
    </row>
    <row r="570" spans="2:11" x14ac:dyDescent="0.2">
      <c r="B570" s="345"/>
      <c r="C570" s="148"/>
      <c r="D570" s="148"/>
      <c r="E570" s="215"/>
      <c r="F570" s="216"/>
      <c r="G570" s="99"/>
      <c r="H570" s="100"/>
      <c r="I570" s="129"/>
      <c r="J570" s="214"/>
      <c r="K570" s="231"/>
    </row>
    <row r="571" spans="2:11" x14ac:dyDescent="0.2">
      <c r="B571" s="345"/>
      <c r="C571" s="148"/>
      <c r="D571" s="148"/>
      <c r="E571" s="215"/>
      <c r="F571" s="216"/>
      <c r="G571" s="99"/>
      <c r="H571" s="100"/>
      <c r="I571" s="129"/>
      <c r="J571" s="214"/>
      <c r="K571" s="231"/>
    </row>
    <row r="572" spans="2:11" x14ac:dyDescent="0.2">
      <c r="B572" s="345"/>
      <c r="C572" s="148"/>
      <c r="D572" s="148"/>
      <c r="E572" s="215"/>
      <c r="F572" s="216"/>
      <c r="G572" s="99"/>
      <c r="H572" s="100"/>
      <c r="I572" s="129"/>
      <c r="J572" s="214"/>
      <c r="K572" s="231"/>
    </row>
    <row r="573" spans="2:11" x14ac:dyDescent="0.2">
      <c r="B573" s="345"/>
      <c r="C573" s="148"/>
      <c r="D573" s="148"/>
      <c r="E573" s="215"/>
      <c r="F573" s="216"/>
      <c r="G573" s="99"/>
      <c r="H573" s="100"/>
      <c r="I573" s="129"/>
      <c r="J573" s="214"/>
      <c r="K573" s="231"/>
    </row>
    <row r="574" spans="2:11" x14ac:dyDescent="0.2">
      <c r="B574" s="345"/>
      <c r="C574" s="148"/>
      <c r="D574" s="148"/>
      <c r="E574" s="215"/>
      <c r="F574" s="216"/>
      <c r="G574" s="99"/>
      <c r="H574" s="100"/>
      <c r="I574" s="129"/>
      <c r="J574" s="214"/>
      <c r="K574" s="231"/>
    </row>
    <row r="575" spans="2:11" x14ac:dyDescent="0.2">
      <c r="B575" s="345"/>
      <c r="C575" s="148"/>
      <c r="D575" s="148"/>
      <c r="E575" s="215"/>
      <c r="F575" s="216"/>
      <c r="G575" s="99"/>
      <c r="H575" s="100"/>
      <c r="I575" s="129"/>
      <c r="J575" s="214"/>
      <c r="K575" s="231"/>
    </row>
    <row r="576" spans="2:11" x14ac:dyDescent="0.2">
      <c r="B576" s="345"/>
      <c r="C576" s="148"/>
      <c r="D576" s="148"/>
      <c r="E576" s="215"/>
      <c r="F576" s="216"/>
      <c r="G576" s="99"/>
      <c r="H576" s="100"/>
      <c r="I576" s="129"/>
      <c r="J576" s="214"/>
      <c r="K576" s="231"/>
    </row>
    <row r="577" spans="2:13" x14ac:dyDescent="0.2">
      <c r="B577" s="345"/>
      <c r="C577" s="148"/>
      <c r="D577" s="148"/>
      <c r="E577" s="215"/>
      <c r="F577" s="216"/>
      <c r="G577" s="99"/>
      <c r="H577" s="100"/>
      <c r="I577" s="129"/>
      <c r="J577" s="214"/>
      <c r="K577" s="231"/>
    </row>
    <row r="578" spans="2:13" ht="15.75" x14ac:dyDescent="0.25">
      <c r="B578" s="359"/>
      <c r="C578" s="278">
        <v>20201301</v>
      </c>
      <c r="D578" s="279" t="s">
        <v>116</v>
      </c>
      <c r="E578" s="280">
        <f>E579</f>
        <v>0</v>
      </c>
      <c r="F578" s="279">
        <f>F579</f>
        <v>45000000</v>
      </c>
      <c r="G578" s="279">
        <f>G579</f>
        <v>0</v>
      </c>
      <c r="H578" s="279">
        <f>H579</f>
        <v>0</v>
      </c>
      <c r="I578" s="279">
        <f>I579</f>
        <v>45000000</v>
      </c>
      <c r="J578" s="281"/>
      <c r="K578" s="267"/>
    </row>
    <row r="579" spans="2:13" ht="15.75" x14ac:dyDescent="0.25">
      <c r="B579" s="343"/>
      <c r="C579" s="236">
        <v>2020130101</v>
      </c>
      <c r="D579" s="236" t="s">
        <v>165</v>
      </c>
      <c r="E579" s="240">
        <v>0</v>
      </c>
      <c r="F579" s="239">
        <f>SUM(F580:F584)</f>
        <v>45000000</v>
      </c>
      <c r="G579" s="239">
        <f>SUM(G580:G584)</f>
        <v>0</v>
      </c>
      <c r="H579" s="239">
        <f>SUM(H580:H584)</f>
        <v>0</v>
      </c>
      <c r="I579" s="310">
        <f>E579+F579+G579-H579</f>
        <v>45000000</v>
      </c>
      <c r="J579" s="299">
        <f>SUM(J580:J584)</f>
        <v>0</v>
      </c>
      <c r="K579" s="301">
        <f>I579-J579</f>
        <v>45000000</v>
      </c>
    </row>
    <row r="580" spans="2:13" x14ac:dyDescent="0.2">
      <c r="B580" s="360">
        <v>43194</v>
      </c>
      <c r="C580" s="302"/>
      <c r="D580" s="302" t="s">
        <v>231</v>
      </c>
      <c r="E580" s="303"/>
      <c r="F580" s="304">
        <v>45000000</v>
      </c>
      <c r="G580" s="305"/>
      <c r="H580" s="306"/>
      <c r="I580" s="307"/>
      <c r="J580" s="308"/>
      <c r="K580" s="309"/>
    </row>
    <row r="581" spans="2:13" x14ac:dyDescent="0.2">
      <c r="B581" s="360"/>
      <c r="C581" s="302"/>
      <c r="D581" s="302"/>
      <c r="E581" s="303"/>
      <c r="F581" s="304"/>
      <c r="G581" s="305"/>
      <c r="H581" s="306"/>
      <c r="I581" s="307"/>
      <c r="J581" s="308"/>
      <c r="K581" s="309"/>
    </row>
    <row r="582" spans="2:13" x14ac:dyDescent="0.2">
      <c r="B582" s="360"/>
      <c r="C582" s="302"/>
      <c r="D582" s="302"/>
      <c r="E582" s="303"/>
      <c r="F582" s="304"/>
      <c r="G582" s="305"/>
      <c r="H582" s="306"/>
      <c r="I582" s="307"/>
      <c r="J582" s="308"/>
      <c r="K582" s="309"/>
    </row>
    <row r="583" spans="2:13" x14ac:dyDescent="0.2">
      <c r="B583" s="360"/>
      <c r="C583" s="302"/>
      <c r="D583" s="302"/>
      <c r="E583" s="303"/>
      <c r="F583" s="304"/>
      <c r="G583" s="305"/>
      <c r="H583" s="306"/>
      <c r="I583" s="307"/>
      <c r="J583" s="308"/>
      <c r="K583" s="309"/>
    </row>
    <row r="584" spans="2:13" ht="18" x14ac:dyDescent="0.25">
      <c r="B584" s="360"/>
      <c r="C584" s="302"/>
      <c r="D584" s="302"/>
      <c r="E584" s="318"/>
      <c r="F584" s="319"/>
      <c r="G584" s="320"/>
      <c r="H584" s="321"/>
      <c r="I584" s="322"/>
      <c r="J584" s="323"/>
      <c r="K584" s="324"/>
    </row>
    <row r="585" spans="2:13" ht="18.75" thickBot="1" x14ac:dyDescent="0.3">
      <c r="B585" s="361"/>
      <c r="C585" s="266"/>
      <c r="D585" s="266" t="s">
        <v>157</v>
      </c>
      <c r="E585" s="325">
        <f>E457+E413+E164+E128+E109+E3+E578</f>
        <v>973593065.91321981</v>
      </c>
      <c r="F585" s="325">
        <f>F457+F413+F164+F128+F109+F3+F578</f>
        <v>241428242</v>
      </c>
      <c r="G585" s="325">
        <f>G457+G413+G164+G128+G109+G3</f>
        <v>29281983</v>
      </c>
      <c r="H585" s="325">
        <f>H457+H413+H164+H128+H109+H3</f>
        <v>29281983</v>
      </c>
      <c r="I585" s="325">
        <f>E585+F585</f>
        <v>1215021307.9132199</v>
      </c>
      <c r="J585" s="325">
        <f>J578+J569+J540+J526+J510+J497+J485+J473+J469+J458+J450+J438+J424+J414+J395+J392+J390+J385+J380+J373+J363+J354+J350+J339+J317+J291+J276+J256+J186+J165+J154+J140+J129+J110+J101+J86+J71+J63+J50+J36+J21+J4+J559</f>
        <v>510229131</v>
      </c>
      <c r="K585" s="326">
        <f>I585-J585</f>
        <v>704792176.91321993</v>
      </c>
      <c r="M585" s="317"/>
    </row>
    <row r="587" spans="2:13" x14ac:dyDescent="0.2">
      <c r="J587" s="116"/>
      <c r="K587" s="116"/>
    </row>
    <row r="588" spans="2:13" x14ac:dyDescent="0.2">
      <c r="I588" s="116"/>
    </row>
    <row r="589" spans="2:13" x14ac:dyDescent="0.2">
      <c r="J589" s="317"/>
    </row>
    <row r="590" spans="2:13" x14ac:dyDescent="0.2">
      <c r="I590" s="116"/>
    </row>
    <row r="593" spans="9:9" x14ac:dyDescent="0.2">
      <c r="I593" s="116"/>
    </row>
  </sheetData>
  <autoFilter ref="A186:K232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abSelected="1" zoomScale="90" zoomScaleNormal="90" zoomScaleSheetLayoutView="80" workbookViewId="0">
      <pane xSplit="2" ySplit="7" topLeftCell="C44" activePane="bottomRight" state="frozen"/>
      <selection activeCell="J59" sqref="J59"/>
      <selection pane="topRight" activeCell="J59" sqref="J59"/>
      <selection pane="bottomLeft" activeCell="J59" sqref="J59"/>
      <selection pane="bottomRight" activeCell="J51" sqref="J5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8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8" x14ac:dyDescent="0.25">
      <c r="A3" s="370" t="s">
        <v>240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371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372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171474367</v>
      </c>
      <c r="J8" s="65">
        <f>SUM(J9:J19)</f>
        <v>43113053</v>
      </c>
      <c r="K8" s="66">
        <f>L8/H8</f>
        <v>0.32511221586017042</v>
      </c>
      <c r="L8" s="67">
        <f>I8+J8</f>
        <v>214587420</v>
      </c>
      <c r="M8" s="65">
        <f>SUM(M9:M19)</f>
        <v>445453665.91321969</v>
      </c>
      <c r="N8" s="68">
        <f>M8/H8</f>
        <v>0.67488778413982942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ABRIL!I9+ABRIL!J9</f>
        <v>161630742</v>
      </c>
      <c r="J9" s="41">
        <f>'LIBRO DE PRESUPUESTO'!J12</f>
        <v>41895205</v>
      </c>
      <c r="K9" s="15">
        <f>L9/H9</f>
        <v>0.3999917624386613</v>
      </c>
      <c r="L9" s="23">
        <f t="shared" ref="L9:L15" si="1">J9+I9</f>
        <v>203525947</v>
      </c>
      <c r="M9" s="24">
        <f>H9-L9</f>
        <v>305299399.20000005</v>
      </c>
      <c r="N9" s="17">
        <f>M9/H9</f>
        <v>0.6000082375613387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ABRIL!I10+ABRIL!J10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ABRIL!I11+ABRIL!J11</f>
        <v>323440</v>
      </c>
      <c r="J11" s="21">
        <f>'LIBRO DE PRESUPUESTO'!J27</f>
        <v>88211</v>
      </c>
      <c r="K11" s="15">
        <f>L11/H11</f>
        <v>0.38204467698393607</v>
      </c>
      <c r="L11" s="23">
        <f t="shared" si="1"/>
        <v>411651</v>
      </c>
      <c r="M11" s="24">
        <f t="shared" si="3"/>
        <v>665843.39999999991</v>
      </c>
      <c r="N11" s="17">
        <f>M11/H11</f>
        <v>0.61795532301606393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ABRIL!I12+ABRIL!J12</f>
        <v>429212</v>
      </c>
      <c r="J12" s="21">
        <f>'LIBRO DE PRESUPUESTO'!J42</f>
        <v>60170</v>
      </c>
      <c r="K12" s="15">
        <f t="shared" ref="K12:K48" si="4">L12/H12</f>
        <v>0.32976121552810633</v>
      </c>
      <c r="L12" s="23">
        <f t="shared" si="1"/>
        <v>489382</v>
      </c>
      <c r="M12" s="24">
        <f t="shared" si="3"/>
        <v>994667.60000000009</v>
      </c>
      <c r="N12" s="17">
        <f>M12/H12</f>
        <v>0.67023878447189367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ABRIL!I13+ABRIL!J13</f>
        <v>3547745</v>
      </c>
      <c r="J13" s="41">
        <f>'LIBRO DE PRESUPUESTO'!J55</f>
        <v>1069467</v>
      </c>
      <c r="K13" s="15">
        <f t="shared" si="4"/>
        <v>0.30706202812882499</v>
      </c>
      <c r="L13" s="23">
        <f t="shared" si="1"/>
        <v>4617212</v>
      </c>
      <c r="M13" s="24">
        <f t="shared" si="3"/>
        <v>10419528.388045937</v>
      </c>
      <c r="N13" s="17">
        <f>M13/H13</f>
        <v>0.69293797187117501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ABRIL!I14+ABRIL!J14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ABRIL!I15+ABRIL!J15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>
        <f>ABRIL!I16+ABRIL!J16</f>
        <v>0</v>
      </c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ABRIL!I17+ABRIL!J17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>
        <f>ABRIL!I18+ABRIL!J18</f>
        <v>0</v>
      </c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ABRIL!I19+ABRIL!J19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ABRIL!I21+ABRIL!J21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ABRIL!I22+ABRIL!J22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ABRIL!I23+ABRIL!J23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ABRIL!I24+ABRIL!J24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16895400</v>
      </c>
      <c r="J25" s="65">
        <f t="shared" si="7"/>
        <v>3757200</v>
      </c>
      <c r="K25" s="66">
        <f>L25/H25</f>
        <v>0.52685204081632653</v>
      </c>
      <c r="L25" s="72">
        <f t="shared" si="5"/>
        <v>20652600</v>
      </c>
      <c r="M25" s="65">
        <f>SUM(M26:M30)</f>
        <v>18547400</v>
      </c>
      <c r="N25" s="68">
        <f>M25/H25</f>
        <v>0.47314795918367347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ABRIL!I26+ABRIL!J26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f>ABRIL!I27+ABRIL!J27</f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ABRIL!I28+ABRIL!J28</f>
        <v>16895400</v>
      </c>
      <c r="J28" s="21">
        <f>'LIBRO DE PRESUPUESTO'!J146+'LIBRO DE PRESUPUESTO'!J147</f>
        <v>3757200</v>
      </c>
      <c r="K28" s="15">
        <f t="shared" si="4"/>
        <v>0.64539374999999999</v>
      </c>
      <c r="L28" s="23">
        <f t="shared" si="5"/>
        <v>20652600</v>
      </c>
      <c r="M28" s="24">
        <f t="shared" si="3"/>
        <v>11347400</v>
      </c>
      <c r="N28" s="33">
        <f>M28/H28</f>
        <v>0.35460625000000001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ABRIL!I29+ABRIL!J29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ABRIL!I30+ABRIL!J30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58599588</v>
      </c>
      <c r="J31" s="65">
        <f t="shared" si="8"/>
        <v>20441737</v>
      </c>
      <c r="K31" s="66">
        <f>L31/H31</f>
        <v>0.39903677147022149</v>
      </c>
      <c r="L31" s="67">
        <f>I31+J31</f>
        <v>79041325</v>
      </c>
      <c r="M31" s="72">
        <f>SUM(M32:M48)</f>
        <v>119038979</v>
      </c>
      <c r="N31" s="68">
        <f>M31/H31</f>
        <v>0.60096322852977846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ABRIL!I32+ABRIL!J32</f>
        <v>16180000</v>
      </c>
      <c r="J32" s="21">
        <v>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f>ABRIL!I33+ABRIL!J33</f>
        <v>1085000</v>
      </c>
      <c r="J33" s="21">
        <f>'LIBRO DE PRESUPUESTO'!J171</f>
        <v>1196000</v>
      </c>
      <c r="K33" s="15">
        <f t="shared" si="4"/>
        <v>0.15206666666666666</v>
      </c>
      <c r="L33" s="23">
        <f t="shared" si="10"/>
        <v>2281000</v>
      </c>
      <c r="M33" s="24">
        <f t="shared" si="3"/>
        <v>12719000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ABRIL!I34+ABRIL!J34</f>
        <v>27546168</v>
      </c>
      <c r="J34" s="21">
        <f>SUM('LIBRO DE PRESUPUESTO'!J216:J232)-5638390</f>
        <v>11752160</v>
      </c>
      <c r="K34" s="15">
        <f t="shared" si="4"/>
        <v>1</v>
      </c>
      <c r="L34" s="23">
        <f t="shared" si="10"/>
        <v>39298328</v>
      </c>
      <c r="M34" s="24">
        <f t="shared" si="3"/>
        <v>0</v>
      </c>
      <c r="N34" s="33">
        <f>M34/H34</f>
        <v>0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f>ABRIL!I35+ABRIL!J35</f>
        <v>0</v>
      </c>
      <c r="J35" s="21">
        <v>5638390</v>
      </c>
      <c r="K35" s="15">
        <f t="shared" si="4"/>
        <v>0.1127678</v>
      </c>
      <c r="L35" s="23">
        <f t="shared" si="10"/>
        <v>5638390</v>
      </c>
      <c r="M35" s="24">
        <f t="shared" si="3"/>
        <v>44361610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ABRIL!I36+ABRIL!J36</f>
        <v>367000</v>
      </c>
      <c r="J36" s="41">
        <f>'LIBRO DE PRESUPUESTO'!J259</f>
        <v>167100</v>
      </c>
      <c r="K36" s="15">
        <f t="shared" si="4"/>
        <v>0.44508333333333333</v>
      </c>
      <c r="L36" s="23">
        <f t="shared" si="10"/>
        <v>534100</v>
      </c>
      <c r="M36" s="24">
        <f t="shared" si="3"/>
        <v>665900</v>
      </c>
      <c r="N36" s="33">
        <f>M36/H36</f>
        <v>0.55491666666666661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ABRIL!I37+ABRIL!J37</f>
        <v>3142400</v>
      </c>
      <c r="J37" s="41">
        <f>'LIBRO DE PRESUPUESTO'!J281</f>
        <v>583800</v>
      </c>
      <c r="K37" s="15">
        <f t="shared" si="4"/>
        <v>0.3450185185185185</v>
      </c>
      <c r="L37" s="23">
        <f t="shared" si="10"/>
        <v>3726200</v>
      </c>
      <c r="M37" s="24">
        <f t="shared" si="3"/>
        <v>7073800</v>
      </c>
      <c r="N37" s="17">
        <f>M37/H37</f>
        <v>0.6549814814814815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ABRIL!I38+ABRIL!J38</f>
        <v>1992848</v>
      </c>
      <c r="J38" s="41">
        <f>SUM('LIBRO DE PRESUPUESTO'!J302:J304)</f>
        <v>471997</v>
      </c>
      <c r="K38" s="15">
        <f t="shared" si="4"/>
        <v>0.37346136363636362</v>
      </c>
      <c r="L38" s="23">
        <f t="shared" si="10"/>
        <v>2464845</v>
      </c>
      <c r="M38" s="24">
        <f t="shared" si="3"/>
        <v>4135155</v>
      </c>
      <c r="N38" s="17">
        <f>M38/H38</f>
        <v>0.62653863636363638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ABRIL!I39+ABRIL!J39</f>
        <v>499920</v>
      </c>
      <c r="J39" s="25">
        <f>'LIBRO DE PRESUPUESTO'!J326+'LIBRO DE PRESUPUESTO'!J327</f>
        <v>132290</v>
      </c>
      <c r="K39" s="15">
        <f t="shared" si="4"/>
        <v>0.32927604166666669</v>
      </c>
      <c r="L39" s="23">
        <f t="shared" si="10"/>
        <v>632210</v>
      </c>
      <c r="M39" s="24">
        <f t="shared" si="3"/>
        <v>1287790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ABRIL!I40+ABRIL!J40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ABRIL!I41+ABRIL!J41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PRESUPUESTO'!G356</f>
        <v>631976</v>
      </c>
      <c r="G42" s="61"/>
      <c r="H42" s="20">
        <f t="shared" si="9"/>
        <v>8631976</v>
      </c>
      <c r="I42" s="21">
        <f>ABRIL!I42+ABRIL!J42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ABRIL!I43+ABRIL!J43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ABRIL!I44+ABRIL!J44</f>
        <v>0</v>
      </c>
      <c r="J44" s="43">
        <f>'LIBRO DE PRESUPUESTO'!J375</f>
        <v>500000</v>
      </c>
      <c r="K44" s="15">
        <f t="shared" si="4"/>
        <v>0.16666666666666666</v>
      </c>
      <c r="L44" s="23">
        <f t="shared" si="10"/>
        <v>500000</v>
      </c>
      <c r="M44" s="24">
        <f t="shared" si="3"/>
        <v>2500000</v>
      </c>
      <c r="N44" s="17">
        <f>M44/H44</f>
        <v>0.83333333333333337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ABRIL!I45+ABRIL!J45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ABRIL!I46+ABRIL!J46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ABRIL!I47+ABRIL!J47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ABRIL!I48+ABRIL!J48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0</v>
      </c>
      <c r="J49" s="327">
        <f t="shared" si="12"/>
        <v>335104</v>
      </c>
      <c r="K49" s="314">
        <v>0</v>
      </c>
      <c r="L49" s="63">
        <f t="shared" si="10"/>
        <v>335104</v>
      </c>
      <c r="M49" s="315">
        <f>M50</f>
        <v>664896</v>
      </c>
      <c r="N49" s="328">
        <f t="shared" si="11"/>
        <v>0.66489600000000004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f>'LIBRO DE PRESUPUESTO'!J398+'LIBRO DE PRESUPUESTO'!J399</f>
        <v>335104</v>
      </c>
      <c r="K50" s="15"/>
      <c r="L50" s="23">
        <f t="shared" si="10"/>
        <v>335104</v>
      </c>
      <c r="M50" s="24">
        <f t="shared" si="3"/>
        <v>664896</v>
      </c>
      <c r="N50" s="17">
        <f t="shared" si="11"/>
        <v>0.66489600000000004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19491285</v>
      </c>
      <c r="J51" s="70">
        <f t="shared" si="13"/>
        <v>4738768</v>
      </c>
      <c r="K51" s="66">
        <f>L51/H51</f>
        <v>0.28921978064385762</v>
      </c>
      <c r="L51" s="70">
        <f>SUM(L52:L55)</f>
        <v>24230053</v>
      </c>
      <c r="M51" s="70">
        <f>SUM(M52:M55)</f>
        <v>59547249.320260897</v>
      </c>
      <c r="N51" s="68">
        <f t="shared" si="11"/>
        <v>0.71078021935614244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ABRIL!I52+ABRIL!J52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ABRIL!I53+ABRIL!J53</f>
        <v>14254973</v>
      </c>
      <c r="J53" s="41">
        <f>'LIBRO DE PRESUPUESTO'!J429</f>
        <v>3561692</v>
      </c>
      <c r="K53" s="15">
        <f t="shared" si="14"/>
        <v>0.41059599092961491</v>
      </c>
      <c r="L53" s="23">
        <f>J53+I53</f>
        <v>17816665</v>
      </c>
      <c r="M53" s="24">
        <f t="shared" si="3"/>
        <v>25575539</v>
      </c>
      <c r="N53" s="17">
        <f t="shared" si="11"/>
        <v>0.58940400907038504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ABRIL!I54+ABRIL!J54</f>
        <v>5236312</v>
      </c>
      <c r="J54" s="41">
        <f>'LIBRO DE PRESUPUESTO'!J443</f>
        <v>1177076</v>
      </c>
      <c r="K54" s="15">
        <f t="shared" si="14"/>
        <v>0.30495262084257974</v>
      </c>
      <c r="L54" s="23">
        <f>J54+I54</f>
        <v>6413388</v>
      </c>
      <c r="M54" s="24">
        <f t="shared" si="3"/>
        <v>14617380.590477761</v>
      </c>
      <c r="N54" s="17">
        <f t="shared" si="11"/>
        <v>0.69504737915742021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ABRIL!I55+ABRIL!J55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32056332</v>
      </c>
      <c r="J56" s="65">
        <f t="shared" si="15"/>
        <v>7994256</v>
      </c>
      <c r="K56" s="66">
        <f>L56/H56</f>
        <v>0.31431302587603444</v>
      </c>
      <c r="L56" s="67">
        <f>SUM(L57:L66)</f>
        <v>40050588</v>
      </c>
      <c r="M56" s="72">
        <f>SUM(M57:M66)</f>
        <v>87372028</v>
      </c>
      <c r="N56" s="68">
        <f t="shared" si="11"/>
        <v>0.68568697412396551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ABRIL!I57+ABRIL!J57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ABRIL!I58+ABRIL!J58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ABRIL!I59+ABRIL!J59</f>
        <v>1137500</v>
      </c>
      <c r="J59" s="41">
        <f>'LIBRO DE PRESUPUESTO'!J478</f>
        <v>284300</v>
      </c>
      <c r="K59" s="15">
        <f t="shared" si="14"/>
        <v>0.53355008571025431</v>
      </c>
      <c r="L59" s="23">
        <f t="shared" si="17"/>
        <v>1421800</v>
      </c>
      <c r="M59" s="24">
        <f t="shared" si="3"/>
        <v>1242992</v>
      </c>
      <c r="N59" s="17">
        <f t="shared" ref="N59:N65" si="18">M59/H59</f>
        <v>0.46644991428974569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ABRIL!I60+ABRIL!J60</f>
        <v>14999191</v>
      </c>
      <c r="J60" s="37">
        <f>'LIBRO DE PRESUPUESTO'!J490</f>
        <v>3882956</v>
      </c>
      <c r="K60" s="15">
        <f t="shared" si="14"/>
        <v>0.46936866329583277</v>
      </c>
      <c r="L60" s="23">
        <f t="shared" si="17"/>
        <v>18882147</v>
      </c>
      <c r="M60" s="24">
        <f t="shared" si="3"/>
        <v>21346672</v>
      </c>
      <c r="N60" s="17">
        <f t="shared" si="18"/>
        <v>0.53063133670416718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ABRIL!I61+ABRIL!J61</f>
        <v>6677500</v>
      </c>
      <c r="J61" s="41">
        <f>'LIBRO DE PRESUPUESTO'!J502</f>
        <v>1676400</v>
      </c>
      <c r="K61" s="15">
        <f t="shared" si="14"/>
        <v>0.40910662462916003</v>
      </c>
      <c r="L61" s="23">
        <f t="shared" si="17"/>
        <v>8353900</v>
      </c>
      <c r="M61" s="24">
        <f t="shared" si="3"/>
        <v>12065960</v>
      </c>
      <c r="N61" s="17">
        <f t="shared" si="18"/>
        <v>0.59089337537083997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ABRIL!I62+ABRIL!J62</f>
        <v>5008700</v>
      </c>
      <c r="J62" s="41">
        <f>'LIBRO DE PRESUPUESTO'!J515</f>
        <v>1289500</v>
      </c>
      <c r="K62" s="15">
        <f t="shared" si="14"/>
        <v>0.41124677862566711</v>
      </c>
      <c r="L62" s="23">
        <f t="shared" si="17"/>
        <v>6298200</v>
      </c>
      <c r="M62" s="24">
        <f t="shared" si="3"/>
        <v>9016692</v>
      </c>
      <c r="N62" s="17">
        <f t="shared" si="18"/>
        <v>0.58875322137433295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ABRIL!I63+ABRIL!J63</f>
        <v>836600</v>
      </c>
      <c r="J63" s="41">
        <f>'LIBRO DE PRESUPUESTO'!J531</f>
        <v>215400</v>
      </c>
      <c r="K63" s="15">
        <f t="shared" si="14"/>
        <v>0.41214753941650567</v>
      </c>
      <c r="L63" s="23">
        <f t="shared" si="17"/>
        <v>1052000</v>
      </c>
      <c r="M63" s="24">
        <f t="shared" si="3"/>
        <v>1500484</v>
      </c>
      <c r="N63" s="17">
        <f t="shared" si="18"/>
        <v>0.58785246058349439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ABRIL!I64+ABRIL!J64</f>
        <v>836600</v>
      </c>
      <c r="J64" s="41">
        <f>'LIBRO DE PRESUPUESTO'!J545</f>
        <v>215400</v>
      </c>
      <c r="K64" s="15">
        <f t="shared" si="14"/>
        <v>0.41214753941650567</v>
      </c>
      <c r="L64" s="23">
        <f t="shared" si="17"/>
        <v>1052000</v>
      </c>
      <c r="M64" s="24">
        <f t="shared" si="3"/>
        <v>1500484</v>
      </c>
      <c r="N64" s="17">
        <f t="shared" si="18"/>
        <v>0.58785246058349439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ABRIL!I65+ABRIL!J65</f>
        <v>1671100</v>
      </c>
      <c r="J65" s="41">
        <f>'LIBRO DE PRESUPUESTO'!J564</f>
        <v>430300</v>
      </c>
      <c r="K65" s="15">
        <f t="shared" si="14"/>
        <v>0.41163823162064878</v>
      </c>
      <c r="L65" s="23">
        <f t="shared" si="17"/>
        <v>2101400</v>
      </c>
      <c r="M65" s="24">
        <f t="shared" si="3"/>
        <v>3003568</v>
      </c>
      <c r="N65" s="17">
        <f t="shared" si="18"/>
        <v>0.58836176837935128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ABRIL!I66+ABRIL!J66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333349072</v>
      </c>
      <c r="J70" s="83">
        <f t="shared" si="19"/>
        <v>80380118</v>
      </c>
      <c r="K70" s="84">
        <f>L70/H70</f>
        <v>0.34051188007683653</v>
      </c>
      <c r="L70" s="83">
        <f>L8+L20+L25+L31+L49+L51+L56+L67</f>
        <v>413729190</v>
      </c>
      <c r="M70" s="83">
        <f>M8+M20+M25+M31+M51+M49+M56+M67</f>
        <v>801292118.23348057</v>
      </c>
      <c r="N70" s="85">
        <f>M70/H70</f>
        <v>0.65948811992316336</v>
      </c>
    </row>
    <row r="71" spans="1:16" ht="35.25" customHeight="1" thickBot="1" x14ac:dyDescent="0.3">
      <c r="A71" s="81" t="s">
        <v>114</v>
      </c>
      <c r="B71" s="373" t="s">
        <v>115</v>
      </c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5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258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zoomScale="90" zoomScaleNormal="90" zoomScaleSheetLayoutView="80" workbookViewId="0">
      <pane xSplit="2" ySplit="7" topLeftCell="C50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6" style="1" bestFit="1" customWidth="1"/>
    <col min="12" max="12" width="17.375" style="39" customWidth="1"/>
    <col min="13" max="13" width="16.25" style="1" bestFit="1" customWidth="1"/>
    <col min="14" max="14" width="8.5" style="1" customWidth="1"/>
    <col min="15" max="15" width="11" style="1"/>
    <col min="16" max="16" width="10.125" style="1" bestFit="1" customWidth="1"/>
    <col min="17" max="255" width="11" style="1"/>
    <col min="256" max="256" width="16" style="1" customWidth="1"/>
    <col min="257" max="257" width="49.625" style="1" customWidth="1"/>
    <col min="258" max="258" width="15.25" style="1" customWidth="1"/>
    <col min="259" max="265" width="14.625" style="1" customWidth="1"/>
    <col min="266" max="266" width="0" style="1" hidden="1" customWidth="1"/>
    <col min="267" max="267" width="7.875" style="1" customWidth="1"/>
    <col min="268" max="268" width="17.375" style="1" customWidth="1"/>
    <col min="269" max="269" width="14.625" style="1" customWidth="1"/>
    <col min="270" max="270" width="8.5" style="1" customWidth="1"/>
    <col min="271" max="271" width="11" style="1"/>
    <col min="272" max="272" width="10.125" style="1" bestFit="1" customWidth="1"/>
    <col min="273" max="511" width="11" style="1"/>
    <col min="512" max="512" width="16" style="1" customWidth="1"/>
    <col min="513" max="513" width="49.625" style="1" customWidth="1"/>
    <col min="514" max="514" width="15.25" style="1" customWidth="1"/>
    <col min="515" max="521" width="14.625" style="1" customWidth="1"/>
    <col min="522" max="522" width="0" style="1" hidden="1" customWidth="1"/>
    <col min="523" max="523" width="7.875" style="1" customWidth="1"/>
    <col min="524" max="524" width="17.375" style="1" customWidth="1"/>
    <col min="525" max="525" width="14.625" style="1" customWidth="1"/>
    <col min="526" max="526" width="8.5" style="1" customWidth="1"/>
    <col min="527" max="527" width="11" style="1"/>
    <col min="528" max="528" width="10.125" style="1" bestFit="1" customWidth="1"/>
    <col min="529" max="767" width="11" style="1"/>
    <col min="768" max="768" width="16" style="1" customWidth="1"/>
    <col min="769" max="769" width="49.625" style="1" customWidth="1"/>
    <col min="770" max="770" width="15.25" style="1" customWidth="1"/>
    <col min="771" max="777" width="14.625" style="1" customWidth="1"/>
    <col min="778" max="778" width="0" style="1" hidden="1" customWidth="1"/>
    <col min="779" max="779" width="7.875" style="1" customWidth="1"/>
    <col min="780" max="780" width="17.375" style="1" customWidth="1"/>
    <col min="781" max="781" width="14.625" style="1" customWidth="1"/>
    <col min="782" max="782" width="8.5" style="1" customWidth="1"/>
    <col min="783" max="783" width="11" style="1"/>
    <col min="784" max="784" width="10.125" style="1" bestFit="1" customWidth="1"/>
    <col min="785" max="1023" width="11" style="1"/>
    <col min="1024" max="1024" width="16" style="1" customWidth="1"/>
    <col min="1025" max="1025" width="49.625" style="1" customWidth="1"/>
    <col min="1026" max="1026" width="15.25" style="1" customWidth="1"/>
    <col min="1027" max="1033" width="14.625" style="1" customWidth="1"/>
    <col min="1034" max="1034" width="0" style="1" hidden="1" customWidth="1"/>
    <col min="1035" max="1035" width="7.875" style="1" customWidth="1"/>
    <col min="1036" max="1036" width="17.375" style="1" customWidth="1"/>
    <col min="1037" max="1037" width="14.625" style="1" customWidth="1"/>
    <col min="1038" max="1038" width="8.5" style="1" customWidth="1"/>
    <col min="1039" max="1039" width="11" style="1"/>
    <col min="1040" max="1040" width="10.125" style="1" bestFit="1" customWidth="1"/>
    <col min="1041" max="1279" width="11" style="1"/>
    <col min="1280" max="1280" width="16" style="1" customWidth="1"/>
    <col min="1281" max="1281" width="49.625" style="1" customWidth="1"/>
    <col min="1282" max="1282" width="15.25" style="1" customWidth="1"/>
    <col min="1283" max="1289" width="14.625" style="1" customWidth="1"/>
    <col min="1290" max="1290" width="0" style="1" hidden="1" customWidth="1"/>
    <col min="1291" max="1291" width="7.875" style="1" customWidth="1"/>
    <col min="1292" max="1292" width="17.375" style="1" customWidth="1"/>
    <col min="1293" max="1293" width="14.625" style="1" customWidth="1"/>
    <col min="1294" max="1294" width="8.5" style="1" customWidth="1"/>
    <col min="1295" max="1295" width="11" style="1"/>
    <col min="1296" max="1296" width="10.125" style="1" bestFit="1" customWidth="1"/>
    <col min="1297" max="1535" width="11" style="1"/>
    <col min="1536" max="1536" width="16" style="1" customWidth="1"/>
    <col min="1537" max="1537" width="49.625" style="1" customWidth="1"/>
    <col min="1538" max="1538" width="15.25" style="1" customWidth="1"/>
    <col min="1539" max="1545" width="14.625" style="1" customWidth="1"/>
    <col min="1546" max="1546" width="0" style="1" hidden="1" customWidth="1"/>
    <col min="1547" max="1547" width="7.875" style="1" customWidth="1"/>
    <col min="1548" max="1548" width="17.375" style="1" customWidth="1"/>
    <col min="1549" max="1549" width="14.625" style="1" customWidth="1"/>
    <col min="1550" max="1550" width="8.5" style="1" customWidth="1"/>
    <col min="1551" max="1551" width="11" style="1"/>
    <col min="1552" max="1552" width="10.125" style="1" bestFit="1" customWidth="1"/>
    <col min="1553" max="1791" width="11" style="1"/>
    <col min="1792" max="1792" width="16" style="1" customWidth="1"/>
    <col min="1793" max="1793" width="49.625" style="1" customWidth="1"/>
    <col min="1794" max="1794" width="15.25" style="1" customWidth="1"/>
    <col min="1795" max="1801" width="14.625" style="1" customWidth="1"/>
    <col min="1802" max="1802" width="0" style="1" hidden="1" customWidth="1"/>
    <col min="1803" max="1803" width="7.875" style="1" customWidth="1"/>
    <col min="1804" max="1804" width="17.375" style="1" customWidth="1"/>
    <col min="1805" max="1805" width="14.625" style="1" customWidth="1"/>
    <col min="1806" max="1806" width="8.5" style="1" customWidth="1"/>
    <col min="1807" max="1807" width="11" style="1"/>
    <col min="1808" max="1808" width="10.125" style="1" bestFit="1" customWidth="1"/>
    <col min="1809" max="2047" width="11" style="1"/>
    <col min="2048" max="2048" width="16" style="1" customWidth="1"/>
    <col min="2049" max="2049" width="49.625" style="1" customWidth="1"/>
    <col min="2050" max="2050" width="15.25" style="1" customWidth="1"/>
    <col min="2051" max="2057" width="14.625" style="1" customWidth="1"/>
    <col min="2058" max="2058" width="0" style="1" hidden="1" customWidth="1"/>
    <col min="2059" max="2059" width="7.875" style="1" customWidth="1"/>
    <col min="2060" max="2060" width="17.375" style="1" customWidth="1"/>
    <col min="2061" max="2061" width="14.625" style="1" customWidth="1"/>
    <col min="2062" max="2062" width="8.5" style="1" customWidth="1"/>
    <col min="2063" max="2063" width="11" style="1"/>
    <col min="2064" max="2064" width="10.125" style="1" bestFit="1" customWidth="1"/>
    <col min="2065" max="2303" width="11" style="1"/>
    <col min="2304" max="2304" width="16" style="1" customWidth="1"/>
    <col min="2305" max="2305" width="49.625" style="1" customWidth="1"/>
    <col min="2306" max="2306" width="15.25" style="1" customWidth="1"/>
    <col min="2307" max="2313" width="14.625" style="1" customWidth="1"/>
    <col min="2314" max="2314" width="0" style="1" hidden="1" customWidth="1"/>
    <col min="2315" max="2315" width="7.875" style="1" customWidth="1"/>
    <col min="2316" max="2316" width="17.375" style="1" customWidth="1"/>
    <col min="2317" max="2317" width="14.625" style="1" customWidth="1"/>
    <col min="2318" max="2318" width="8.5" style="1" customWidth="1"/>
    <col min="2319" max="2319" width="11" style="1"/>
    <col min="2320" max="2320" width="10.125" style="1" bestFit="1" customWidth="1"/>
    <col min="2321" max="2559" width="11" style="1"/>
    <col min="2560" max="2560" width="16" style="1" customWidth="1"/>
    <col min="2561" max="2561" width="49.625" style="1" customWidth="1"/>
    <col min="2562" max="2562" width="15.25" style="1" customWidth="1"/>
    <col min="2563" max="2569" width="14.625" style="1" customWidth="1"/>
    <col min="2570" max="2570" width="0" style="1" hidden="1" customWidth="1"/>
    <col min="2571" max="2571" width="7.875" style="1" customWidth="1"/>
    <col min="2572" max="2572" width="17.375" style="1" customWidth="1"/>
    <col min="2573" max="2573" width="14.625" style="1" customWidth="1"/>
    <col min="2574" max="2574" width="8.5" style="1" customWidth="1"/>
    <col min="2575" max="2575" width="11" style="1"/>
    <col min="2576" max="2576" width="10.125" style="1" bestFit="1" customWidth="1"/>
    <col min="2577" max="2815" width="11" style="1"/>
    <col min="2816" max="2816" width="16" style="1" customWidth="1"/>
    <col min="2817" max="2817" width="49.625" style="1" customWidth="1"/>
    <col min="2818" max="2818" width="15.25" style="1" customWidth="1"/>
    <col min="2819" max="2825" width="14.625" style="1" customWidth="1"/>
    <col min="2826" max="2826" width="0" style="1" hidden="1" customWidth="1"/>
    <col min="2827" max="2827" width="7.875" style="1" customWidth="1"/>
    <col min="2828" max="2828" width="17.375" style="1" customWidth="1"/>
    <col min="2829" max="2829" width="14.625" style="1" customWidth="1"/>
    <col min="2830" max="2830" width="8.5" style="1" customWidth="1"/>
    <col min="2831" max="2831" width="11" style="1"/>
    <col min="2832" max="2832" width="10.125" style="1" bestFit="1" customWidth="1"/>
    <col min="2833" max="3071" width="11" style="1"/>
    <col min="3072" max="3072" width="16" style="1" customWidth="1"/>
    <col min="3073" max="3073" width="49.625" style="1" customWidth="1"/>
    <col min="3074" max="3074" width="15.25" style="1" customWidth="1"/>
    <col min="3075" max="3081" width="14.625" style="1" customWidth="1"/>
    <col min="3082" max="3082" width="0" style="1" hidden="1" customWidth="1"/>
    <col min="3083" max="3083" width="7.875" style="1" customWidth="1"/>
    <col min="3084" max="3084" width="17.375" style="1" customWidth="1"/>
    <col min="3085" max="3085" width="14.625" style="1" customWidth="1"/>
    <col min="3086" max="3086" width="8.5" style="1" customWidth="1"/>
    <col min="3087" max="3087" width="11" style="1"/>
    <col min="3088" max="3088" width="10.125" style="1" bestFit="1" customWidth="1"/>
    <col min="3089" max="3327" width="11" style="1"/>
    <col min="3328" max="3328" width="16" style="1" customWidth="1"/>
    <col min="3329" max="3329" width="49.625" style="1" customWidth="1"/>
    <col min="3330" max="3330" width="15.25" style="1" customWidth="1"/>
    <col min="3331" max="3337" width="14.625" style="1" customWidth="1"/>
    <col min="3338" max="3338" width="0" style="1" hidden="1" customWidth="1"/>
    <col min="3339" max="3339" width="7.875" style="1" customWidth="1"/>
    <col min="3340" max="3340" width="17.375" style="1" customWidth="1"/>
    <col min="3341" max="3341" width="14.625" style="1" customWidth="1"/>
    <col min="3342" max="3342" width="8.5" style="1" customWidth="1"/>
    <col min="3343" max="3343" width="11" style="1"/>
    <col min="3344" max="3344" width="10.125" style="1" bestFit="1" customWidth="1"/>
    <col min="3345" max="3583" width="11" style="1"/>
    <col min="3584" max="3584" width="16" style="1" customWidth="1"/>
    <col min="3585" max="3585" width="49.625" style="1" customWidth="1"/>
    <col min="3586" max="3586" width="15.25" style="1" customWidth="1"/>
    <col min="3587" max="3593" width="14.625" style="1" customWidth="1"/>
    <col min="3594" max="3594" width="0" style="1" hidden="1" customWidth="1"/>
    <col min="3595" max="3595" width="7.875" style="1" customWidth="1"/>
    <col min="3596" max="3596" width="17.375" style="1" customWidth="1"/>
    <col min="3597" max="3597" width="14.625" style="1" customWidth="1"/>
    <col min="3598" max="3598" width="8.5" style="1" customWidth="1"/>
    <col min="3599" max="3599" width="11" style="1"/>
    <col min="3600" max="3600" width="10.125" style="1" bestFit="1" customWidth="1"/>
    <col min="3601" max="3839" width="11" style="1"/>
    <col min="3840" max="3840" width="16" style="1" customWidth="1"/>
    <col min="3841" max="3841" width="49.625" style="1" customWidth="1"/>
    <col min="3842" max="3842" width="15.25" style="1" customWidth="1"/>
    <col min="3843" max="3849" width="14.625" style="1" customWidth="1"/>
    <col min="3850" max="3850" width="0" style="1" hidden="1" customWidth="1"/>
    <col min="3851" max="3851" width="7.875" style="1" customWidth="1"/>
    <col min="3852" max="3852" width="17.375" style="1" customWidth="1"/>
    <col min="3853" max="3853" width="14.625" style="1" customWidth="1"/>
    <col min="3854" max="3854" width="8.5" style="1" customWidth="1"/>
    <col min="3855" max="3855" width="11" style="1"/>
    <col min="3856" max="3856" width="10.125" style="1" bestFit="1" customWidth="1"/>
    <col min="3857" max="4095" width="11" style="1"/>
    <col min="4096" max="4096" width="16" style="1" customWidth="1"/>
    <col min="4097" max="4097" width="49.625" style="1" customWidth="1"/>
    <col min="4098" max="4098" width="15.25" style="1" customWidth="1"/>
    <col min="4099" max="4105" width="14.625" style="1" customWidth="1"/>
    <col min="4106" max="4106" width="0" style="1" hidden="1" customWidth="1"/>
    <col min="4107" max="4107" width="7.875" style="1" customWidth="1"/>
    <col min="4108" max="4108" width="17.375" style="1" customWidth="1"/>
    <col min="4109" max="4109" width="14.625" style="1" customWidth="1"/>
    <col min="4110" max="4110" width="8.5" style="1" customWidth="1"/>
    <col min="4111" max="4111" width="11" style="1"/>
    <col min="4112" max="4112" width="10.125" style="1" bestFit="1" customWidth="1"/>
    <col min="4113" max="4351" width="11" style="1"/>
    <col min="4352" max="4352" width="16" style="1" customWidth="1"/>
    <col min="4353" max="4353" width="49.625" style="1" customWidth="1"/>
    <col min="4354" max="4354" width="15.25" style="1" customWidth="1"/>
    <col min="4355" max="4361" width="14.625" style="1" customWidth="1"/>
    <col min="4362" max="4362" width="0" style="1" hidden="1" customWidth="1"/>
    <col min="4363" max="4363" width="7.875" style="1" customWidth="1"/>
    <col min="4364" max="4364" width="17.375" style="1" customWidth="1"/>
    <col min="4365" max="4365" width="14.625" style="1" customWidth="1"/>
    <col min="4366" max="4366" width="8.5" style="1" customWidth="1"/>
    <col min="4367" max="4367" width="11" style="1"/>
    <col min="4368" max="4368" width="10.125" style="1" bestFit="1" customWidth="1"/>
    <col min="4369" max="4607" width="11" style="1"/>
    <col min="4608" max="4608" width="16" style="1" customWidth="1"/>
    <col min="4609" max="4609" width="49.625" style="1" customWidth="1"/>
    <col min="4610" max="4610" width="15.25" style="1" customWidth="1"/>
    <col min="4611" max="4617" width="14.625" style="1" customWidth="1"/>
    <col min="4618" max="4618" width="0" style="1" hidden="1" customWidth="1"/>
    <col min="4619" max="4619" width="7.875" style="1" customWidth="1"/>
    <col min="4620" max="4620" width="17.375" style="1" customWidth="1"/>
    <col min="4621" max="4621" width="14.625" style="1" customWidth="1"/>
    <col min="4622" max="4622" width="8.5" style="1" customWidth="1"/>
    <col min="4623" max="4623" width="11" style="1"/>
    <col min="4624" max="4624" width="10.125" style="1" bestFit="1" customWidth="1"/>
    <col min="4625" max="4863" width="11" style="1"/>
    <col min="4864" max="4864" width="16" style="1" customWidth="1"/>
    <col min="4865" max="4865" width="49.625" style="1" customWidth="1"/>
    <col min="4866" max="4866" width="15.25" style="1" customWidth="1"/>
    <col min="4867" max="4873" width="14.625" style="1" customWidth="1"/>
    <col min="4874" max="4874" width="0" style="1" hidden="1" customWidth="1"/>
    <col min="4875" max="4875" width="7.875" style="1" customWidth="1"/>
    <col min="4876" max="4876" width="17.375" style="1" customWidth="1"/>
    <col min="4877" max="4877" width="14.625" style="1" customWidth="1"/>
    <col min="4878" max="4878" width="8.5" style="1" customWidth="1"/>
    <col min="4879" max="4879" width="11" style="1"/>
    <col min="4880" max="4880" width="10.125" style="1" bestFit="1" customWidth="1"/>
    <col min="4881" max="5119" width="11" style="1"/>
    <col min="5120" max="5120" width="16" style="1" customWidth="1"/>
    <col min="5121" max="5121" width="49.625" style="1" customWidth="1"/>
    <col min="5122" max="5122" width="15.25" style="1" customWidth="1"/>
    <col min="5123" max="5129" width="14.625" style="1" customWidth="1"/>
    <col min="5130" max="5130" width="0" style="1" hidden="1" customWidth="1"/>
    <col min="5131" max="5131" width="7.875" style="1" customWidth="1"/>
    <col min="5132" max="5132" width="17.375" style="1" customWidth="1"/>
    <col min="5133" max="5133" width="14.625" style="1" customWidth="1"/>
    <col min="5134" max="5134" width="8.5" style="1" customWidth="1"/>
    <col min="5135" max="5135" width="11" style="1"/>
    <col min="5136" max="5136" width="10.125" style="1" bestFit="1" customWidth="1"/>
    <col min="5137" max="5375" width="11" style="1"/>
    <col min="5376" max="5376" width="16" style="1" customWidth="1"/>
    <col min="5377" max="5377" width="49.625" style="1" customWidth="1"/>
    <col min="5378" max="5378" width="15.25" style="1" customWidth="1"/>
    <col min="5379" max="5385" width="14.625" style="1" customWidth="1"/>
    <col min="5386" max="5386" width="0" style="1" hidden="1" customWidth="1"/>
    <col min="5387" max="5387" width="7.875" style="1" customWidth="1"/>
    <col min="5388" max="5388" width="17.375" style="1" customWidth="1"/>
    <col min="5389" max="5389" width="14.625" style="1" customWidth="1"/>
    <col min="5390" max="5390" width="8.5" style="1" customWidth="1"/>
    <col min="5391" max="5391" width="11" style="1"/>
    <col min="5392" max="5392" width="10.125" style="1" bestFit="1" customWidth="1"/>
    <col min="5393" max="5631" width="11" style="1"/>
    <col min="5632" max="5632" width="16" style="1" customWidth="1"/>
    <col min="5633" max="5633" width="49.625" style="1" customWidth="1"/>
    <col min="5634" max="5634" width="15.25" style="1" customWidth="1"/>
    <col min="5635" max="5641" width="14.625" style="1" customWidth="1"/>
    <col min="5642" max="5642" width="0" style="1" hidden="1" customWidth="1"/>
    <col min="5643" max="5643" width="7.875" style="1" customWidth="1"/>
    <col min="5644" max="5644" width="17.375" style="1" customWidth="1"/>
    <col min="5645" max="5645" width="14.625" style="1" customWidth="1"/>
    <col min="5646" max="5646" width="8.5" style="1" customWidth="1"/>
    <col min="5647" max="5647" width="11" style="1"/>
    <col min="5648" max="5648" width="10.125" style="1" bestFit="1" customWidth="1"/>
    <col min="5649" max="5887" width="11" style="1"/>
    <col min="5888" max="5888" width="16" style="1" customWidth="1"/>
    <col min="5889" max="5889" width="49.625" style="1" customWidth="1"/>
    <col min="5890" max="5890" width="15.25" style="1" customWidth="1"/>
    <col min="5891" max="5897" width="14.625" style="1" customWidth="1"/>
    <col min="5898" max="5898" width="0" style="1" hidden="1" customWidth="1"/>
    <col min="5899" max="5899" width="7.875" style="1" customWidth="1"/>
    <col min="5900" max="5900" width="17.375" style="1" customWidth="1"/>
    <col min="5901" max="5901" width="14.625" style="1" customWidth="1"/>
    <col min="5902" max="5902" width="8.5" style="1" customWidth="1"/>
    <col min="5903" max="5903" width="11" style="1"/>
    <col min="5904" max="5904" width="10.125" style="1" bestFit="1" customWidth="1"/>
    <col min="5905" max="6143" width="11" style="1"/>
    <col min="6144" max="6144" width="16" style="1" customWidth="1"/>
    <col min="6145" max="6145" width="49.625" style="1" customWidth="1"/>
    <col min="6146" max="6146" width="15.25" style="1" customWidth="1"/>
    <col min="6147" max="6153" width="14.625" style="1" customWidth="1"/>
    <col min="6154" max="6154" width="0" style="1" hidden="1" customWidth="1"/>
    <col min="6155" max="6155" width="7.875" style="1" customWidth="1"/>
    <col min="6156" max="6156" width="17.375" style="1" customWidth="1"/>
    <col min="6157" max="6157" width="14.625" style="1" customWidth="1"/>
    <col min="6158" max="6158" width="8.5" style="1" customWidth="1"/>
    <col min="6159" max="6159" width="11" style="1"/>
    <col min="6160" max="6160" width="10.125" style="1" bestFit="1" customWidth="1"/>
    <col min="6161" max="6399" width="11" style="1"/>
    <col min="6400" max="6400" width="16" style="1" customWidth="1"/>
    <col min="6401" max="6401" width="49.625" style="1" customWidth="1"/>
    <col min="6402" max="6402" width="15.25" style="1" customWidth="1"/>
    <col min="6403" max="6409" width="14.625" style="1" customWidth="1"/>
    <col min="6410" max="6410" width="0" style="1" hidden="1" customWidth="1"/>
    <col min="6411" max="6411" width="7.875" style="1" customWidth="1"/>
    <col min="6412" max="6412" width="17.375" style="1" customWidth="1"/>
    <col min="6413" max="6413" width="14.625" style="1" customWidth="1"/>
    <col min="6414" max="6414" width="8.5" style="1" customWidth="1"/>
    <col min="6415" max="6415" width="11" style="1"/>
    <col min="6416" max="6416" width="10.125" style="1" bestFit="1" customWidth="1"/>
    <col min="6417" max="6655" width="11" style="1"/>
    <col min="6656" max="6656" width="16" style="1" customWidth="1"/>
    <col min="6657" max="6657" width="49.625" style="1" customWidth="1"/>
    <col min="6658" max="6658" width="15.25" style="1" customWidth="1"/>
    <col min="6659" max="6665" width="14.625" style="1" customWidth="1"/>
    <col min="6666" max="6666" width="0" style="1" hidden="1" customWidth="1"/>
    <col min="6667" max="6667" width="7.875" style="1" customWidth="1"/>
    <col min="6668" max="6668" width="17.375" style="1" customWidth="1"/>
    <col min="6669" max="6669" width="14.625" style="1" customWidth="1"/>
    <col min="6670" max="6670" width="8.5" style="1" customWidth="1"/>
    <col min="6671" max="6671" width="11" style="1"/>
    <col min="6672" max="6672" width="10.125" style="1" bestFit="1" customWidth="1"/>
    <col min="6673" max="6911" width="11" style="1"/>
    <col min="6912" max="6912" width="16" style="1" customWidth="1"/>
    <col min="6913" max="6913" width="49.625" style="1" customWidth="1"/>
    <col min="6914" max="6914" width="15.25" style="1" customWidth="1"/>
    <col min="6915" max="6921" width="14.625" style="1" customWidth="1"/>
    <col min="6922" max="6922" width="0" style="1" hidden="1" customWidth="1"/>
    <col min="6923" max="6923" width="7.875" style="1" customWidth="1"/>
    <col min="6924" max="6924" width="17.375" style="1" customWidth="1"/>
    <col min="6925" max="6925" width="14.625" style="1" customWidth="1"/>
    <col min="6926" max="6926" width="8.5" style="1" customWidth="1"/>
    <col min="6927" max="6927" width="11" style="1"/>
    <col min="6928" max="6928" width="10.125" style="1" bestFit="1" customWidth="1"/>
    <col min="6929" max="7167" width="11" style="1"/>
    <col min="7168" max="7168" width="16" style="1" customWidth="1"/>
    <col min="7169" max="7169" width="49.625" style="1" customWidth="1"/>
    <col min="7170" max="7170" width="15.25" style="1" customWidth="1"/>
    <col min="7171" max="7177" width="14.625" style="1" customWidth="1"/>
    <col min="7178" max="7178" width="0" style="1" hidden="1" customWidth="1"/>
    <col min="7179" max="7179" width="7.875" style="1" customWidth="1"/>
    <col min="7180" max="7180" width="17.375" style="1" customWidth="1"/>
    <col min="7181" max="7181" width="14.625" style="1" customWidth="1"/>
    <col min="7182" max="7182" width="8.5" style="1" customWidth="1"/>
    <col min="7183" max="7183" width="11" style="1"/>
    <col min="7184" max="7184" width="10.125" style="1" bestFit="1" customWidth="1"/>
    <col min="7185" max="7423" width="11" style="1"/>
    <col min="7424" max="7424" width="16" style="1" customWidth="1"/>
    <col min="7425" max="7425" width="49.625" style="1" customWidth="1"/>
    <col min="7426" max="7426" width="15.25" style="1" customWidth="1"/>
    <col min="7427" max="7433" width="14.625" style="1" customWidth="1"/>
    <col min="7434" max="7434" width="0" style="1" hidden="1" customWidth="1"/>
    <col min="7435" max="7435" width="7.875" style="1" customWidth="1"/>
    <col min="7436" max="7436" width="17.375" style="1" customWidth="1"/>
    <col min="7437" max="7437" width="14.625" style="1" customWidth="1"/>
    <col min="7438" max="7438" width="8.5" style="1" customWidth="1"/>
    <col min="7439" max="7439" width="11" style="1"/>
    <col min="7440" max="7440" width="10.125" style="1" bestFit="1" customWidth="1"/>
    <col min="7441" max="7679" width="11" style="1"/>
    <col min="7680" max="7680" width="16" style="1" customWidth="1"/>
    <col min="7681" max="7681" width="49.625" style="1" customWidth="1"/>
    <col min="7682" max="7682" width="15.25" style="1" customWidth="1"/>
    <col min="7683" max="7689" width="14.625" style="1" customWidth="1"/>
    <col min="7690" max="7690" width="0" style="1" hidden="1" customWidth="1"/>
    <col min="7691" max="7691" width="7.875" style="1" customWidth="1"/>
    <col min="7692" max="7692" width="17.375" style="1" customWidth="1"/>
    <col min="7693" max="7693" width="14.625" style="1" customWidth="1"/>
    <col min="7694" max="7694" width="8.5" style="1" customWidth="1"/>
    <col min="7695" max="7695" width="11" style="1"/>
    <col min="7696" max="7696" width="10.125" style="1" bestFit="1" customWidth="1"/>
    <col min="7697" max="7935" width="11" style="1"/>
    <col min="7936" max="7936" width="16" style="1" customWidth="1"/>
    <col min="7937" max="7937" width="49.625" style="1" customWidth="1"/>
    <col min="7938" max="7938" width="15.25" style="1" customWidth="1"/>
    <col min="7939" max="7945" width="14.625" style="1" customWidth="1"/>
    <col min="7946" max="7946" width="0" style="1" hidden="1" customWidth="1"/>
    <col min="7947" max="7947" width="7.875" style="1" customWidth="1"/>
    <col min="7948" max="7948" width="17.375" style="1" customWidth="1"/>
    <col min="7949" max="7949" width="14.625" style="1" customWidth="1"/>
    <col min="7950" max="7950" width="8.5" style="1" customWidth="1"/>
    <col min="7951" max="7951" width="11" style="1"/>
    <col min="7952" max="7952" width="10.125" style="1" bestFit="1" customWidth="1"/>
    <col min="7953" max="8191" width="11" style="1"/>
    <col min="8192" max="8192" width="16" style="1" customWidth="1"/>
    <col min="8193" max="8193" width="49.625" style="1" customWidth="1"/>
    <col min="8194" max="8194" width="15.25" style="1" customWidth="1"/>
    <col min="8195" max="8201" width="14.625" style="1" customWidth="1"/>
    <col min="8202" max="8202" width="0" style="1" hidden="1" customWidth="1"/>
    <col min="8203" max="8203" width="7.875" style="1" customWidth="1"/>
    <col min="8204" max="8204" width="17.375" style="1" customWidth="1"/>
    <col min="8205" max="8205" width="14.625" style="1" customWidth="1"/>
    <col min="8206" max="8206" width="8.5" style="1" customWidth="1"/>
    <col min="8207" max="8207" width="11" style="1"/>
    <col min="8208" max="8208" width="10.125" style="1" bestFit="1" customWidth="1"/>
    <col min="8209" max="8447" width="11" style="1"/>
    <col min="8448" max="8448" width="16" style="1" customWidth="1"/>
    <col min="8449" max="8449" width="49.625" style="1" customWidth="1"/>
    <col min="8450" max="8450" width="15.25" style="1" customWidth="1"/>
    <col min="8451" max="8457" width="14.625" style="1" customWidth="1"/>
    <col min="8458" max="8458" width="0" style="1" hidden="1" customWidth="1"/>
    <col min="8459" max="8459" width="7.875" style="1" customWidth="1"/>
    <col min="8460" max="8460" width="17.375" style="1" customWidth="1"/>
    <col min="8461" max="8461" width="14.625" style="1" customWidth="1"/>
    <col min="8462" max="8462" width="8.5" style="1" customWidth="1"/>
    <col min="8463" max="8463" width="11" style="1"/>
    <col min="8464" max="8464" width="10.125" style="1" bestFit="1" customWidth="1"/>
    <col min="8465" max="8703" width="11" style="1"/>
    <col min="8704" max="8704" width="16" style="1" customWidth="1"/>
    <col min="8705" max="8705" width="49.625" style="1" customWidth="1"/>
    <col min="8706" max="8706" width="15.25" style="1" customWidth="1"/>
    <col min="8707" max="8713" width="14.625" style="1" customWidth="1"/>
    <col min="8714" max="8714" width="0" style="1" hidden="1" customWidth="1"/>
    <col min="8715" max="8715" width="7.875" style="1" customWidth="1"/>
    <col min="8716" max="8716" width="17.375" style="1" customWidth="1"/>
    <col min="8717" max="8717" width="14.625" style="1" customWidth="1"/>
    <col min="8718" max="8718" width="8.5" style="1" customWidth="1"/>
    <col min="8719" max="8719" width="11" style="1"/>
    <col min="8720" max="8720" width="10.125" style="1" bestFit="1" customWidth="1"/>
    <col min="8721" max="8959" width="11" style="1"/>
    <col min="8960" max="8960" width="16" style="1" customWidth="1"/>
    <col min="8961" max="8961" width="49.625" style="1" customWidth="1"/>
    <col min="8962" max="8962" width="15.25" style="1" customWidth="1"/>
    <col min="8963" max="8969" width="14.625" style="1" customWidth="1"/>
    <col min="8970" max="8970" width="0" style="1" hidden="1" customWidth="1"/>
    <col min="8971" max="8971" width="7.875" style="1" customWidth="1"/>
    <col min="8972" max="8972" width="17.375" style="1" customWidth="1"/>
    <col min="8973" max="8973" width="14.625" style="1" customWidth="1"/>
    <col min="8974" max="8974" width="8.5" style="1" customWidth="1"/>
    <col min="8975" max="8975" width="11" style="1"/>
    <col min="8976" max="8976" width="10.125" style="1" bestFit="1" customWidth="1"/>
    <col min="8977" max="9215" width="11" style="1"/>
    <col min="9216" max="9216" width="16" style="1" customWidth="1"/>
    <col min="9217" max="9217" width="49.625" style="1" customWidth="1"/>
    <col min="9218" max="9218" width="15.25" style="1" customWidth="1"/>
    <col min="9219" max="9225" width="14.625" style="1" customWidth="1"/>
    <col min="9226" max="9226" width="0" style="1" hidden="1" customWidth="1"/>
    <col min="9227" max="9227" width="7.875" style="1" customWidth="1"/>
    <col min="9228" max="9228" width="17.375" style="1" customWidth="1"/>
    <col min="9229" max="9229" width="14.625" style="1" customWidth="1"/>
    <col min="9230" max="9230" width="8.5" style="1" customWidth="1"/>
    <col min="9231" max="9231" width="11" style="1"/>
    <col min="9232" max="9232" width="10.125" style="1" bestFit="1" customWidth="1"/>
    <col min="9233" max="9471" width="11" style="1"/>
    <col min="9472" max="9472" width="16" style="1" customWidth="1"/>
    <col min="9473" max="9473" width="49.625" style="1" customWidth="1"/>
    <col min="9474" max="9474" width="15.25" style="1" customWidth="1"/>
    <col min="9475" max="9481" width="14.625" style="1" customWidth="1"/>
    <col min="9482" max="9482" width="0" style="1" hidden="1" customWidth="1"/>
    <col min="9483" max="9483" width="7.875" style="1" customWidth="1"/>
    <col min="9484" max="9484" width="17.375" style="1" customWidth="1"/>
    <col min="9485" max="9485" width="14.625" style="1" customWidth="1"/>
    <col min="9486" max="9486" width="8.5" style="1" customWidth="1"/>
    <col min="9487" max="9487" width="11" style="1"/>
    <col min="9488" max="9488" width="10.125" style="1" bestFit="1" customWidth="1"/>
    <col min="9489" max="9727" width="11" style="1"/>
    <col min="9728" max="9728" width="16" style="1" customWidth="1"/>
    <col min="9729" max="9729" width="49.625" style="1" customWidth="1"/>
    <col min="9730" max="9730" width="15.25" style="1" customWidth="1"/>
    <col min="9731" max="9737" width="14.625" style="1" customWidth="1"/>
    <col min="9738" max="9738" width="0" style="1" hidden="1" customWidth="1"/>
    <col min="9739" max="9739" width="7.875" style="1" customWidth="1"/>
    <col min="9740" max="9740" width="17.375" style="1" customWidth="1"/>
    <col min="9741" max="9741" width="14.625" style="1" customWidth="1"/>
    <col min="9742" max="9742" width="8.5" style="1" customWidth="1"/>
    <col min="9743" max="9743" width="11" style="1"/>
    <col min="9744" max="9744" width="10.125" style="1" bestFit="1" customWidth="1"/>
    <col min="9745" max="9983" width="11" style="1"/>
    <col min="9984" max="9984" width="16" style="1" customWidth="1"/>
    <col min="9985" max="9985" width="49.625" style="1" customWidth="1"/>
    <col min="9986" max="9986" width="15.25" style="1" customWidth="1"/>
    <col min="9987" max="9993" width="14.625" style="1" customWidth="1"/>
    <col min="9994" max="9994" width="0" style="1" hidden="1" customWidth="1"/>
    <col min="9995" max="9995" width="7.875" style="1" customWidth="1"/>
    <col min="9996" max="9996" width="17.375" style="1" customWidth="1"/>
    <col min="9997" max="9997" width="14.625" style="1" customWidth="1"/>
    <col min="9998" max="9998" width="8.5" style="1" customWidth="1"/>
    <col min="9999" max="9999" width="11" style="1"/>
    <col min="10000" max="10000" width="10.125" style="1" bestFit="1" customWidth="1"/>
    <col min="10001" max="10239" width="11" style="1"/>
    <col min="10240" max="10240" width="16" style="1" customWidth="1"/>
    <col min="10241" max="10241" width="49.625" style="1" customWidth="1"/>
    <col min="10242" max="10242" width="15.25" style="1" customWidth="1"/>
    <col min="10243" max="10249" width="14.625" style="1" customWidth="1"/>
    <col min="10250" max="10250" width="0" style="1" hidden="1" customWidth="1"/>
    <col min="10251" max="10251" width="7.875" style="1" customWidth="1"/>
    <col min="10252" max="10252" width="17.375" style="1" customWidth="1"/>
    <col min="10253" max="10253" width="14.625" style="1" customWidth="1"/>
    <col min="10254" max="10254" width="8.5" style="1" customWidth="1"/>
    <col min="10255" max="10255" width="11" style="1"/>
    <col min="10256" max="10256" width="10.125" style="1" bestFit="1" customWidth="1"/>
    <col min="10257" max="10495" width="11" style="1"/>
    <col min="10496" max="10496" width="16" style="1" customWidth="1"/>
    <col min="10497" max="10497" width="49.625" style="1" customWidth="1"/>
    <col min="10498" max="10498" width="15.25" style="1" customWidth="1"/>
    <col min="10499" max="10505" width="14.625" style="1" customWidth="1"/>
    <col min="10506" max="10506" width="0" style="1" hidden="1" customWidth="1"/>
    <col min="10507" max="10507" width="7.875" style="1" customWidth="1"/>
    <col min="10508" max="10508" width="17.375" style="1" customWidth="1"/>
    <col min="10509" max="10509" width="14.625" style="1" customWidth="1"/>
    <col min="10510" max="10510" width="8.5" style="1" customWidth="1"/>
    <col min="10511" max="10511" width="11" style="1"/>
    <col min="10512" max="10512" width="10.125" style="1" bestFit="1" customWidth="1"/>
    <col min="10513" max="10751" width="11" style="1"/>
    <col min="10752" max="10752" width="16" style="1" customWidth="1"/>
    <col min="10753" max="10753" width="49.625" style="1" customWidth="1"/>
    <col min="10754" max="10754" width="15.25" style="1" customWidth="1"/>
    <col min="10755" max="10761" width="14.625" style="1" customWidth="1"/>
    <col min="10762" max="10762" width="0" style="1" hidden="1" customWidth="1"/>
    <col min="10763" max="10763" width="7.875" style="1" customWidth="1"/>
    <col min="10764" max="10764" width="17.375" style="1" customWidth="1"/>
    <col min="10765" max="10765" width="14.625" style="1" customWidth="1"/>
    <col min="10766" max="10766" width="8.5" style="1" customWidth="1"/>
    <col min="10767" max="10767" width="11" style="1"/>
    <col min="10768" max="10768" width="10.125" style="1" bestFit="1" customWidth="1"/>
    <col min="10769" max="11007" width="11" style="1"/>
    <col min="11008" max="11008" width="16" style="1" customWidth="1"/>
    <col min="11009" max="11009" width="49.625" style="1" customWidth="1"/>
    <col min="11010" max="11010" width="15.25" style="1" customWidth="1"/>
    <col min="11011" max="11017" width="14.625" style="1" customWidth="1"/>
    <col min="11018" max="11018" width="0" style="1" hidden="1" customWidth="1"/>
    <col min="11019" max="11019" width="7.875" style="1" customWidth="1"/>
    <col min="11020" max="11020" width="17.375" style="1" customWidth="1"/>
    <col min="11021" max="11021" width="14.625" style="1" customWidth="1"/>
    <col min="11022" max="11022" width="8.5" style="1" customWidth="1"/>
    <col min="11023" max="11023" width="11" style="1"/>
    <col min="11024" max="11024" width="10.125" style="1" bestFit="1" customWidth="1"/>
    <col min="11025" max="11263" width="11" style="1"/>
    <col min="11264" max="11264" width="16" style="1" customWidth="1"/>
    <col min="11265" max="11265" width="49.625" style="1" customWidth="1"/>
    <col min="11266" max="11266" width="15.25" style="1" customWidth="1"/>
    <col min="11267" max="11273" width="14.625" style="1" customWidth="1"/>
    <col min="11274" max="11274" width="0" style="1" hidden="1" customWidth="1"/>
    <col min="11275" max="11275" width="7.875" style="1" customWidth="1"/>
    <col min="11276" max="11276" width="17.375" style="1" customWidth="1"/>
    <col min="11277" max="11277" width="14.625" style="1" customWidth="1"/>
    <col min="11278" max="11278" width="8.5" style="1" customWidth="1"/>
    <col min="11279" max="11279" width="11" style="1"/>
    <col min="11280" max="11280" width="10.125" style="1" bestFit="1" customWidth="1"/>
    <col min="11281" max="11519" width="11" style="1"/>
    <col min="11520" max="11520" width="16" style="1" customWidth="1"/>
    <col min="11521" max="11521" width="49.625" style="1" customWidth="1"/>
    <col min="11522" max="11522" width="15.25" style="1" customWidth="1"/>
    <col min="11523" max="11529" width="14.625" style="1" customWidth="1"/>
    <col min="11530" max="11530" width="0" style="1" hidden="1" customWidth="1"/>
    <col min="11531" max="11531" width="7.875" style="1" customWidth="1"/>
    <col min="11532" max="11532" width="17.375" style="1" customWidth="1"/>
    <col min="11533" max="11533" width="14.625" style="1" customWidth="1"/>
    <col min="11534" max="11534" width="8.5" style="1" customWidth="1"/>
    <col min="11535" max="11535" width="11" style="1"/>
    <col min="11536" max="11536" width="10.125" style="1" bestFit="1" customWidth="1"/>
    <col min="11537" max="11775" width="11" style="1"/>
    <col min="11776" max="11776" width="16" style="1" customWidth="1"/>
    <col min="11777" max="11777" width="49.625" style="1" customWidth="1"/>
    <col min="11778" max="11778" width="15.25" style="1" customWidth="1"/>
    <col min="11779" max="11785" width="14.625" style="1" customWidth="1"/>
    <col min="11786" max="11786" width="0" style="1" hidden="1" customWidth="1"/>
    <col min="11787" max="11787" width="7.875" style="1" customWidth="1"/>
    <col min="11788" max="11788" width="17.375" style="1" customWidth="1"/>
    <col min="11789" max="11789" width="14.625" style="1" customWidth="1"/>
    <col min="11790" max="11790" width="8.5" style="1" customWidth="1"/>
    <col min="11791" max="11791" width="11" style="1"/>
    <col min="11792" max="11792" width="10.125" style="1" bestFit="1" customWidth="1"/>
    <col min="11793" max="12031" width="11" style="1"/>
    <col min="12032" max="12032" width="16" style="1" customWidth="1"/>
    <col min="12033" max="12033" width="49.625" style="1" customWidth="1"/>
    <col min="12034" max="12034" width="15.25" style="1" customWidth="1"/>
    <col min="12035" max="12041" width="14.625" style="1" customWidth="1"/>
    <col min="12042" max="12042" width="0" style="1" hidden="1" customWidth="1"/>
    <col min="12043" max="12043" width="7.875" style="1" customWidth="1"/>
    <col min="12044" max="12044" width="17.375" style="1" customWidth="1"/>
    <col min="12045" max="12045" width="14.625" style="1" customWidth="1"/>
    <col min="12046" max="12046" width="8.5" style="1" customWidth="1"/>
    <col min="12047" max="12047" width="11" style="1"/>
    <col min="12048" max="12048" width="10.125" style="1" bestFit="1" customWidth="1"/>
    <col min="12049" max="12287" width="11" style="1"/>
    <col min="12288" max="12288" width="16" style="1" customWidth="1"/>
    <col min="12289" max="12289" width="49.625" style="1" customWidth="1"/>
    <col min="12290" max="12290" width="15.25" style="1" customWidth="1"/>
    <col min="12291" max="12297" width="14.625" style="1" customWidth="1"/>
    <col min="12298" max="12298" width="0" style="1" hidden="1" customWidth="1"/>
    <col min="12299" max="12299" width="7.875" style="1" customWidth="1"/>
    <col min="12300" max="12300" width="17.375" style="1" customWidth="1"/>
    <col min="12301" max="12301" width="14.625" style="1" customWidth="1"/>
    <col min="12302" max="12302" width="8.5" style="1" customWidth="1"/>
    <col min="12303" max="12303" width="11" style="1"/>
    <col min="12304" max="12304" width="10.125" style="1" bestFit="1" customWidth="1"/>
    <col min="12305" max="12543" width="11" style="1"/>
    <col min="12544" max="12544" width="16" style="1" customWidth="1"/>
    <col min="12545" max="12545" width="49.625" style="1" customWidth="1"/>
    <col min="12546" max="12546" width="15.25" style="1" customWidth="1"/>
    <col min="12547" max="12553" width="14.625" style="1" customWidth="1"/>
    <col min="12554" max="12554" width="0" style="1" hidden="1" customWidth="1"/>
    <col min="12555" max="12555" width="7.875" style="1" customWidth="1"/>
    <col min="12556" max="12556" width="17.375" style="1" customWidth="1"/>
    <col min="12557" max="12557" width="14.625" style="1" customWidth="1"/>
    <col min="12558" max="12558" width="8.5" style="1" customWidth="1"/>
    <col min="12559" max="12559" width="11" style="1"/>
    <col min="12560" max="12560" width="10.125" style="1" bestFit="1" customWidth="1"/>
    <col min="12561" max="12799" width="11" style="1"/>
    <col min="12800" max="12800" width="16" style="1" customWidth="1"/>
    <col min="12801" max="12801" width="49.625" style="1" customWidth="1"/>
    <col min="12802" max="12802" width="15.25" style="1" customWidth="1"/>
    <col min="12803" max="12809" width="14.625" style="1" customWidth="1"/>
    <col min="12810" max="12810" width="0" style="1" hidden="1" customWidth="1"/>
    <col min="12811" max="12811" width="7.875" style="1" customWidth="1"/>
    <col min="12812" max="12812" width="17.375" style="1" customWidth="1"/>
    <col min="12813" max="12813" width="14.625" style="1" customWidth="1"/>
    <col min="12814" max="12814" width="8.5" style="1" customWidth="1"/>
    <col min="12815" max="12815" width="11" style="1"/>
    <col min="12816" max="12816" width="10.125" style="1" bestFit="1" customWidth="1"/>
    <col min="12817" max="13055" width="11" style="1"/>
    <col min="13056" max="13056" width="16" style="1" customWidth="1"/>
    <col min="13057" max="13057" width="49.625" style="1" customWidth="1"/>
    <col min="13058" max="13058" width="15.25" style="1" customWidth="1"/>
    <col min="13059" max="13065" width="14.625" style="1" customWidth="1"/>
    <col min="13066" max="13066" width="0" style="1" hidden="1" customWidth="1"/>
    <col min="13067" max="13067" width="7.875" style="1" customWidth="1"/>
    <col min="13068" max="13068" width="17.375" style="1" customWidth="1"/>
    <col min="13069" max="13069" width="14.625" style="1" customWidth="1"/>
    <col min="13070" max="13070" width="8.5" style="1" customWidth="1"/>
    <col min="13071" max="13071" width="11" style="1"/>
    <col min="13072" max="13072" width="10.125" style="1" bestFit="1" customWidth="1"/>
    <col min="13073" max="13311" width="11" style="1"/>
    <col min="13312" max="13312" width="16" style="1" customWidth="1"/>
    <col min="13313" max="13313" width="49.625" style="1" customWidth="1"/>
    <col min="13314" max="13314" width="15.25" style="1" customWidth="1"/>
    <col min="13315" max="13321" width="14.625" style="1" customWidth="1"/>
    <col min="13322" max="13322" width="0" style="1" hidden="1" customWidth="1"/>
    <col min="13323" max="13323" width="7.875" style="1" customWidth="1"/>
    <col min="13324" max="13324" width="17.375" style="1" customWidth="1"/>
    <col min="13325" max="13325" width="14.625" style="1" customWidth="1"/>
    <col min="13326" max="13326" width="8.5" style="1" customWidth="1"/>
    <col min="13327" max="13327" width="11" style="1"/>
    <col min="13328" max="13328" width="10.125" style="1" bestFit="1" customWidth="1"/>
    <col min="13329" max="13567" width="11" style="1"/>
    <col min="13568" max="13568" width="16" style="1" customWidth="1"/>
    <col min="13569" max="13569" width="49.625" style="1" customWidth="1"/>
    <col min="13570" max="13570" width="15.25" style="1" customWidth="1"/>
    <col min="13571" max="13577" width="14.625" style="1" customWidth="1"/>
    <col min="13578" max="13578" width="0" style="1" hidden="1" customWidth="1"/>
    <col min="13579" max="13579" width="7.875" style="1" customWidth="1"/>
    <col min="13580" max="13580" width="17.375" style="1" customWidth="1"/>
    <col min="13581" max="13581" width="14.625" style="1" customWidth="1"/>
    <col min="13582" max="13582" width="8.5" style="1" customWidth="1"/>
    <col min="13583" max="13583" width="11" style="1"/>
    <col min="13584" max="13584" width="10.125" style="1" bestFit="1" customWidth="1"/>
    <col min="13585" max="13823" width="11" style="1"/>
    <col min="13824" max="13824" width="16" style="1" customWidth="1"/>
    <col min="13825" max="13825" width="49.625" style="1" customWidth="1"/>
    <col min="13826" max="13826" width="15.25" style="1" customWidth="1"/>
    <col min="13827" max="13833" width="14.625" style="1" customWidth="1"/>
    <col min="13834" max="13834" width="0" style="1" hidden="1" customWidth="1"/>
    <col min="13835" max="13835" width="7.875" style="1" customWidth="1"/>
    <col min="13836" max="13836" width="17.375" style="1" customWidth="1"/>
    <col min="13837" max="13837" width="14.625" style="1" customWidth="1"/>
    <col min="13838" max="13838" width="8.5" style="1" customWidth="1"/>
    <col min="13839" max="13839" width="11" style="1"/>
    <col min="13840" max="13840" width="10.125" style="1" bestFit="1" customWidth="1"/>
    <col min="13841" max="14079" width="11" style="1"/>
    <col min="14080" max="14080" width="16" style="1" customWidth="1"/>
    <col min="14081" max="14081" width="49.625" style="1" customWidth="1"/>
    <col min="14082" max="14082" width="15.25" style="1" customWidth="1"/>
    <col min="14083" max="14089" width="14.625" style="1" customWidth="1"/>
    <col min="14090" max="14090" width="0" style="1" hidden="1" customWidth="1"/>
    <col min="14091" max="14091" width="7.875" style="1" customWidth="1"/>
    <col min="14092" max="14092" width="17.375" style="1" customWidth="1"/>
    <col min="14093" max="14093" width="14.625" style="1" customWidth="1"/>
    <col min="14094" max="14094" width="8.5" style="1" customWidth="1"/>
    <col min="14095" max="14095" width="11" style="1"/>
    <col min="14096" max="14096" width="10.125" style="1" bestFit="1" customWidth="1"/>
    <col min="14097" max="14335" width="11" style="1"/>
    <col min="14336" max="14336" width="16" style="1" customWidth="1"/>
    <col min="14337" max="14337" width="49.625" style="1" customWidth="1"/>
    <col min="14338" max="14338" width="15.25" style="1" customWidth="1"/>
    <col min="14339" max="14345" width="14.625" style="1" customWidth="1"/>
    <col min="14346" max="14346" width="0" style="1" hidden="1" customWidth="1"/>
    <col min="14347" max="14347" width="7.875" style="1" customWidth="1"/>
    <col min="14348" max="14348" width="17.375" style="1" customWidth="1"/>
    <col min="14349" max="14349" width="14.625" style="1" customWidth="1"/>
    <col min="14350" max="14350" width="8.5" style="1" customWidth="1"/>
    <col min="14351" max="14351" width="11" style="1"/>
    <col min="14352" max="14352" width="10.125" style="1" bestFit="1" customWidth="1"/>
    <col min="14353" max="14591" width="11" style="1"/>
    <col min="14592" max="14592" width="16" style="1" customWidth="1"/>
    <col min="14593" max="14593" width="49.625" style="1" customWidth="1"/>
    <col min="14594" max="14594" width="15.25" style="1" customWidth="1"/>
    <col min="14595" max="14601" width="14.625" style="1" customWidth="1"/>
    <col min="14602" max="14602" width="0" style="1" hidden="1" customWidth="1"/>
    <col min="14603" max="14603" width="7.875" style="1" customWidth="1"/>
    <col min="14604" max="14604" width="17.375" style="1" customWidth="1"/>
    <col min="14605" max="14605" width="14.625" style="1" customWidth="1"/>
    <col min="14606" max="14606" width="8.5" style="1" customWidth="1"/>
    <col min="14607" max="14607" width="11" style="1"/>
    <col min="14608" max="14608" width="10.125" style="1" bestFit="1" customWidth="1"/>
    <col min="14609" max="14847" width="11" style="1"/>
    <col min="14848" max="14848" width="16" style="1" customWidth="1"/>
    <col min="14849" max="14849" width="49.625" style="1" customWidth="1"/>
    <col min="14850" max="14850" width="15.25" style="1" customWidth="1"/>
    <col min="14851" max="14857" width="14.625" style="1" customWidth="1"/>
    <col min="14858" max="14858" width="0" style="1" hidden="1" customWidth="1"/>
    <col min="14859" max="14859" width="7.875" style="1" customWidth="1"/>
    <col min="14860" max="14860" width="17.375" style="1" customWidth="1"/>
    <col min="14861" max="14861" width="14.625" style="1" customWidth="1"/>
    <col min="14862" max="14862" width="8.5" style="1" customWidth="1"/>
    <col min="14863" max="14863" width="11" style="1"/>
    <col min="14864" max="14864" width="10.125" style="1" bestFit="1" customWidth="1"/>
    <col min="14865" max="15103" width="11" style="1"/>
    <col min="15104" max="15104" width="16" style="1" customWidth="1"/>
    <col min="15105" max="15105" width="49.625" style="1" customWidth="1"/>
    <col min="15106" max="15106" width="15.25" style="1" customWidth="1"/>
    <col min="15107" max="15113" width="14.625" style="1" customWidth="1"/>
    <col min="15114" max="15114" width="0" style="1" hidden="1" customWidth="1"/>
    <col min="15115" max="15115" width="7.875" style="1" customWidth="1"/>
    <col min="15116" max="15116" width="17.375" style="1" customWidth="1"/>
    <col min="15117" max="15117" width="14.625" style="1" customWidth="1"/>
    <col min="15118" max="15118" width="8.5" style="1" customWidth="1"/>
    <col min="15119" max="15119" width="11" style="1"/>
    <col min="15120" max="15120" width="10.125" style="1" bestFit="1" customWidth="1"/>
    <col min="15121" max="15359" width="11" style="1"/>
    <col min="15360" max="15360" width="16" style="1" customWidth="1"/>
    <col min="15361" max="15361" width="49.625" style="1" customWidth="1"/>
    <col min="15362" max="15362" width="15.25" style="1" customWidth="1"/>
    <col min="15363" max="15369" width="14.625" style="1" customWidth="1"/>
    <col min="15370" max="15370" width="0" style="1" hidden="1" customWidth="1"/>
    <col min="15371" max="15371" width="7.875" style="1" customWidth="1"/>
    <col min="15372" max="15372" width="17.375" style="1" customWidth="1"/>
    <col min="15373" max="15373" width="14.625" style="1" customWidth="1"/>
    <col min="15374" max="15374" width="8.5" style="1" customWidth="1"/>
    <col min="15375" max="15375" width="11" style="1"/>
    <col min="15376" max="15376" width="10.125" style="1" bestFit="1" customWidth="1"/>
    <col min="15377" max="15615" width="11" style="1"/>
    <col min="15616" max="15616" width="16" style="1" customWidth="1"/>
    <col min="15617" max="15617" width="49.625" style="1" customWidth="1"/>
    <col min="15618" max="15618" width="15.25" style="1" customWidth="1"/>
    <col min="15619" max="15625" width="14.625" style="1" customWidth="1"/>
    <col min="15626" max="15626" width="0" style="1" hidden="1" customWidth="1"/>
    <col min="15627" max="15627" width="7.875" style="1" customWidth="1"/>
    <col min="15628" max="15628" width="17.375" style="1" customWidth="1"/>
    <col min="15629" max="15629" width="14.625" style="1" customWidth="1"/>
    <col min="15630" max="15630" width="8.5" style="1" customWidth="1"/>
    <col min="15631" max="15631" width="11" style="1"/>
    <col min="15632" max="15632" width="10.125" style="1" bestFit="1" customWidth="1"/>
    <col min="15633" max="15871" width="11" style="1"/>
    <col min="15872" max="15872" width="16" style="1" customWidth="1"/>
    <col min="15873" max="15873" width="49.625" style="1" customWidth="1"/>
    <col min="15874" max="15874" width="15.25" style="1" customWidth="1"/>
    <col min="15875" max="15881" width="14.625" style="1" customWidth="1"/>
    <col min="15882" max="15882" width="0" style="1" hidden="1" customWidth="1"/>
    <col min="15883" max="15883" width="7.875" style="1" customWidth="1"/>
    <col min="15884" max="15884" width="17.375" style="1" customWidth="1"/>
    <col min="15885" max="15885" width="14.625" style="1" customWidth="1"/>
    <col min="15886" max="15886" width="8.5" style="1" customWidth="1"/>
    <col min="15887" max="15887" width="11" style="1"/>
    <col min="15888" max="15888" width="10.125" style="1" bestFit="1" customWidth="1"/>
    <col min="15889" max="16127" width="11" style="1"/>
    <col min="16128" max="16128" width="16" style="1" customWidth="1"/>
    <col min="16129" max="16129" width="49.625" style="1" customWidth="1"/>
    <col min="16130" max="16130" width="15.25" style="1" customWidth="1"/>
    <col min="16131" max="16137" width="14.625" style="1" customWidth="1"/>
    <col min="16138" max="16138" width="0" style="1" hidden="1" customWidth="1"/>
    <col min="16139" max="16139" width="7.875" style="1" customWidth="1"/>
    <col min="16140" max="16140" width="17.375" style="1" customWidth="1"/>
    <col min="16141" max="16141" width="14.625" style="1" customWidth="1"/>
    <col min="16142" max="16142" width="8.5" style="1" customWidth="1"/>
    <col min="16143" max="16143" width="11" style="1"/>
    <col min="16144" max="16144" width="10.125" style="1" bestFit="1" customWidth="1"/>
    <col min="16145" max="16384" width="11" style="1"/>
  </cols>
  <sheetData>
    <row r="1" spans="1:14" ht="18" x14ac:dyDescent="0.2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8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8" x14ac:dyDescent="0.25">
      <c r="A3" s="370" t="s">
        <v>230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4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5"/>
      <c r="M4" s="4"/>
      <c r="N4" s="3"/>
    </row>
    <row r="5" spans="1:14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371" t="s">
        <v>13</v>
      </c>
      <c r="L5" s="50" t="s">
        <v>9</v>
      </c>
      <c r="M5" s="47" t="s">
        <v>14</v>
      </c>
      <c r="N5" s="51" t="s">
        <v>13</v>
      </c>
    </row>
    <row r="6" spans="1:14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372"/>
      <c r="L6" s="58" t="s">
        <v>18</v>
      </c>
      <c r="M6" s="54" t="s">
        <v>19</v>
      </c>
      <c r="N6" s="59"/>
    </row>
    <row r="7" spans="1:14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12"/>
      <c r="M7" s="13"/>
      <c r="N7" s="14"/>
    </row>
    <row r="8" spans="1:14" s="74" customFormat="1" ht="27.75" customHeight="1" x14ac:dyDescent="0.2">
      <c r="A8" s="63" t="s">
        <v>20</v>
      </c>
      <c r="B8" s="73" t="s">
        <v>21</v>
      </c>
      <c r="C8" s="65">
        <f t="shared" ref="C8:H8" si="0">SUM(C9:C19)</f>
        <v>657894826.91321981</v>
      </c>
      <c r="D8" s="65">
        <f t="shared" si="0"/>
        <v>0</v>
      </c>
      <c r="E8" s="65">
        <f t="shared" si="0"/>
        <v>31428242</v>
      </c>
      <c r="F8" s="65">
        <f t="shared" si="0"/>
        <v>0</v>
      </c>
      <c r="G8" s="65">
        <f t="shared" si="0"/>
        <v>29281983</v>
      </c>
      <c r="H8" s="65">
        <f t="shared" si="0"/>
        <v>660041085.91321981</v>
      </c>
      <c r="I8" s="65">
        <f>I9+I10+I11+I12+I13+I14+I15+I17+I19</f>
        <v>128528338</v>
      </c>
      <c r="J8" s="65">
        <f>SUM(J9:J19)</f>
        <v>42946029</v>
      </c>
      <c r="K8" s="66">
        <f>L8/H8</f>
        <v>0.25979347446644396</v>
      </c>
      <c r="L8" s="67">
        <f>I8+J8</f>
        <v>171474367</v>
      </c>
      <c r="M8" s="65">
        <f>SUM(M9:M19)</f>
        <v>488566718.91321969</v>
      </c>
      <c r="N8" s="68">
        <f>M8/H8</f>
        <v>0.74020652553355593</v>
      </c>
    </row>
    <row r="9" spans="1:14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MARZO!I9+MARZO!J9</f>
        <v>119735536</v>
      </c>
      <c r="J9" s="41">
        <f>'LIBRO DE PRESUPUESTO'!J11</f>
        <v>41895206</v>
      </c>
      <c r="K9" s="15">
        <f>L9/H9</f>
        <v>0.31765465931893466</v>
      </c>
      <c r="L9" s="23">
        <f t="shared" ref="L9:L15" si="1">J9+I9</f>
        <v>161630742</v>
      </c>
      <c r="M9" s="24">
        <f>H9-L9</f>
        <v>347194604.20000005</v>
      </c>
      <c r="N9" s="17">
        <f>M9/H9</f>
        <v>0.68234534068106534</v>
      </c>
    </row>
    <row r="10" spans="1:14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4" si="2">C10-D10+E10+F10-G10</f>
        <v>0</v>
      </c>
      <c r="I10" s="21">
        <f>MARZO!I10+MARZO!J10</f>
        <v>0</v>
      </c>
      <c r="J10" s="21">
        <v>0</v>
      </c>
      <c r="K10" s="15">
        <v>0</v>
      </c>
      <c r="L10" s="23">
        <f t="shared" si="1"/>
        <v>0</v>
      </c>
      <c r="M10" s="24">
        <f t="shared" ref="M10:M69" si="3">H10-L10</f>
        <v>0</v>
      </c>
      <c r="N10" s="17">
        <v>0</v>
      </c>
    </row>
    <row r="11" spans="1:14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2"/>
        <v>1077494.3999999999</v>
      </c>
      <c r="I11" s="21">
        <f>MARZO!I11+MARZO!J11</f>
        <v>235229</v>
      </c>
      <c r="J11" s="21">
        <f>'LIBRO DE PRESUPUESTO'!J26</f>
        <v>88211</v>
      </c>
      <c r="K11" s="15">
        <f>L11/H11</f>
        <v>0.30017789419601626</v>
      </c>
      <c r="L11" s="23">
        <f t="shared" si="1"/>
        <v>323440</v>
      </c>
      <c r="M11" s="24">
        <f t="shared" si="3"/>
        <v>754054.39999999991</v>
      </c>
      <c r="N11" s="17">
        <f>M11/H11</f>
        <v>0.69982210580398374</v>
      </c>
    </row>
    <row r="12" spans="1:14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2"/>
        <v>1484049.6</v>
      </c>
      <c r="I12" s="21">
        <f>MARZO!I12+MARZO!J12</f>
        <v>308872</v>
      </c>
      <c r="J12" s="21">
        <f>'LIBRO DE PRESUPUESTO'!J41</f>
        <v>120340</v>
      </c>
      <c r="K12" s="15">
        <f t="shared" ref="K12:K48" si="4">L12/H12</f>
        <v>0.28921674855072227</v>
      </c>
      <c r="L12" s="23">
        <f t="shared" si="1"/>
        <v>429212</v>
      </c>
      <c r="M12" s="24">
        <f t="shared" si="3"/>
        <v>1054837.6000000001</v>
      </c>
      <c r="N12" s="17">
        <f>M12/H12</f>
        <v>0.71078325144927768</v>
      </c>
    </row>
    <row r="13" spans="1:14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2"/>
        <v>15036740.388045937</v>
      </c>
      <c r="I13" s="21">
        <f>MARZO!I13+MARZO!J13</f>
        <v>2705473</v>
      </c>
      <c r="J13" s="41">
        <f>'LIBRO DE PRESUPUESTO'!J54</f>
        <v>842272</v>
      </c>
      <c r="K13" s="15">
        <f t="shared" si="4"/>
        <v>0.23593843535533957</v>
      </c>
      <c r="L13" s="23">
        <f t="shared" si="1"/>
        <v>3547745</v>
      </c>
      <c r="M13" s="24">
        <f t="shared" si="3"/>
        <v>11488995.388045937</v>
      </c>
      <c r="N13" s="17">
        <f>M13/H13</f>
        <v>0.76406156464466046</v>
      </c>
    </row>
    <row r="14" spans="1:14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2"/>
        <v>22003952.024810392</v>
      </c>
      <c r="I14" s="21">
        <f>MARZO!I14+MARZO!J14</f>
        <v>0</v>
      </c>
      <c r="J14" s="42"/>
      <c r="K14" s="15">
        <f t="shared" si="4"/>
        <v>0</v>
      </c>
      <c r="L14" s="23">
        <f t="shared" si="1"/>
        <v>0</v>
      </c>
      <c r="M14" s="24">
        <f t="shared" si="3"/>
        <v>22003952.024810392</v>
      </c>
      <c r="N14" s="17">
        <f>M14/H14</f>
        <v>1</v>
      </c>
    </row>
    <row r="15" spans="1:14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2"/>
        <v>22920783.359177493</v>
      </c>
      <c r="I15" s="21">
        <f>MARZO!I15+MARZO!J15</f>
        <v>5543228</v>
      </c>
      <c r="J15" s="41">
        <v>0</v>
      </c>
      <c r="K15" s="15">
        <f t="shared" si="4"/>
        <v>0.24184286868103436</v>
      </c>
      <c r="L15" s="23">
        <f t="shared" si="1"/>
        <v>5543228</v>
      </c>
      <c r="M15" s="24">
        <f t="shared" si="3"/>
        <v>17377555.359177493</v>
      </c>
      <c r="N15" s="17">
        <f>M15/H15</f>
        <v>0.75815713131896567</v>
      </c>
    </row>
    <row r="16" spans="1:14" ht="15" x14ac:dyDescent="0.25">
      <c r="A16" s="18">
        <v>45</v>
      </c>
      <c r="B16" s="19" t="s">
        <v>35</v>
      </c>
      <c r="C16" s="215">
        <v>0</v>
      </c>
      <c r="D16" s="329"/>
      <c r="E16" s="22">
        <v>1000000</v>
      </c>
      <c r="F16" s="34"/>
      <c r="G16" s="61"/>
      <c r="H16" s="20">
        <f t="shared" si="2"/>
        <v>1000000</v>
      </c>
      <c r="I16" s="21"/>
      <c r="J16" s="41"/>
      <c r="K16" s="15">
        <f t="shared" si="4"/>
        <v>0</v>
      </c>
      <c r="L16" s="23"/>
      <c r="M16" s="24">
        <f t="shared" si="3"/>
        <v>1000000</v>
      </c>
      <c r="N16" s="17"/>
    </row>
    <row r="17" spans="1:14" ht="15" x14ac:dyDescent="0.25">
      <c r="A17" s="26">
        <v>2020110109</v>
      </c>
      <c r="B17" s="19" t="s">
        <v>36</v>
      </c>
      <c r="C17" s="215">
        <v>37123610.942899451</v>
      </c>
      <c r="D17" s="329"/>
      <c r="E17" s="22"/>
      <c r="F17" s="34"/>
      <c r="G17" s="61"/>
      <c r="H17" s="20">
        <f t="shared" si="2"/>
        <v>37123610.942899451</v>
      </c>
      <c r="I17" s="21">
        <f>MARZO!I16+MARZO!J16</f>
        <v>0</v>
      </c>
      <c r="J17" s="41"/>
      <c r="K17" s="15">
        <f t="shared" si="4"/>
        <v>0</v>
      </c>
      <c r="L17" s="23">
        <f>J17+I17</f>
        <v>0</v>
      </c>
      <c r="M17" s="24">
        <f t="shared" si="3"/>
        <v>37123610.942899451</v>
      </c>
      <c r="N17" s="17">
        <f>M17/H17</f>
        <v>1</v>
      </c>
    </row>
    <row r="18" spans="1:14" ht="15" x14ac:dyDescent="0.25">
      <c r="A18" s="26">
        <v>45</v>
      </c>
      <c r="B18" s="19" t="s">
        <v>36</v>
      </c>
      <c r="C18" s="215">
        <v>0</v>
      </c>
      <c r="D18" s="329"/>
      <c r="E18" s="22">
        <v>2817477</v>
      </c>
      <c r="F18" s="34"/>
      <c r="G18" s="61"/>
      <c r="H18" s="20">
        <f t="shared" si="2"/>
        <v>2817477</v>
      </c>
      <c r="I18" s="21"/>
      <c r="J18" s="41"/>
      <c r="K18" s="15">
        <f t="shared" si="4"/>
        <v>0</v>
      </c>
      <c r="L18" s="23"/>
      <c r="M18" s="24">
        <f t="shared" si="3"/>
        <v>2817477</v>
      </c>
      <c r="N18" s="17"/>
    </row>
    <row r="19" spans="1:14" ht="15" x14ac:dyDescent="0.25">
      <c r="A19" s="26">
        <v>2020110108</v>
      </c>
      <c r="B19" s="19" t="s">
        <v>37</v>
      </c>
      <c r="C19" s="215">
        <v>47751631.998286448</v>
      </c>
      <c r="D19" s="329"/>
      <c r="E19" s="22"/>
      <c r="F19" s="34"/>
      <c r="G19" s="61"/>
      <c r="H19" s="20">
        <f t="shared" si="2"/>
        <v>47751631.998286448</v>
      </c>
      <c r="I19" s="21">
        <f>MARZO!I17+MARZO!J17</f>
        <v>0</v>
      </c>
      <c r="J19" s="41"/>
      <c r="K19" s="15">
        <f t="shared" si="4"/>
        <v>0</v>
      </c>
      <c r="L19" s="23">
        <f t="shared" ref="L19:L30" si="5">J19+I19</f>
        <v>0</v>
      </c>
      <c r="M19" s="24">
        <f t="shared" si="3"/>
        <v>47751631.998286448</v>
      </c>
      <c r="N19" s="17">
        <f>M19/H19</f>
        <v>1</v>
      </c>
    </row>
    <row r="20" spans="1:14" s="69" customFormat="1" ht="27.75" customHeight="1" x14ac:dyDescent="0.2">
      <c r="A20" s="63" t="s">
        <v>38</v>
      </c>
      <c r="B20" s="73" t="s">
        <v>39</v>
      </c>
      <c r="C20" s="65">
        <f t="shared" ref="C20:I20" si="6">SUM(C21:C24)</f>
        <v>12849993</v>
      </c>
      <c r="D20" s="65">
        <f t="shared" si="6"/>
        <v>0</v>
      </c>
      <c r="E20" s="65">
        <f t="shared" si="6"/>
        <v>20000000</v>
      </c>
      <c r="F20" s="65">
        <f t="shared" si="6"/>
        <v>27650007</v>
      </c>
      <c r="G20" s="65">
        <f t="shared" si="6"/>
        <v>0</v>
      </c>
      <c r="H20" s="65">
        <f t="shared" si="6"/>
        <v>60500000</v>
      </c>
      <c r="I20" s="65">
        <f t="shared" si="6"/>
        <v>34832100</v>
      </c>
      <c r="J20" s="65">
        <f>SUM(J21:J24)</f>
        <v>0</v>
      </c>
      <c r="K20" s="66">
        <f>L20/H20</f>
        <v>0.57573719008264468</v>
      </c>
      <c r="L20" s="72">
        <f t="shared" si="5"/>
        <v>34832100</v>
      </c>
      <c r="M20" s="72">
        <f>SUM(M21:M24)</f>
        <v>25667900</v>
      </c>
      <c r="N20" s="68">
        <f>M20/H20</f>
        <v>0.42426280991735538</v>
      </c>
    </row>
    <row r="21" spans="1:14" ht="15" x14ac:dyDescent="0.25">
      <c r="A21" s="18" t="s">
        <v>40</v>
      </c>
      <c r="B21" s="28" t="s">
        <v>41</v>
      </c>
      <c r="C21" s="193">
        <f>2300000+10549993</f>
        <v>12849993</v>
      </c>
      <c r="D21" s="21"/>
      <c r="E21" s="22"/>
      <c r="F21" s="34">
        <v>27650007</v>
      </c>
      <c r="G21" s="61"/>
      <c r="H21" s="20">
        <f t="shared" si="2"/>
        <v>40500000</v>
      </c>
      <c r="I21" s="21">
        <f>MARZO!I19+MARZO!J19</f>
        <v>34832100</v>
      </c>
      <c r="J21" s="21">
        <v>0</v>
      </c>
      <c r="K21" s="15">
        <f t="shared" si="4"/>
        <v>0.86005185185185185</v>
      </c>
      <c r="L21" s="23">
        <f t="shared" si="5"/>
        <v>34832100</v>
      </c>
      <c r="M21" s="24">
        <f t="shared" si="3"/>
        <v>5667900</v>
      </c>
      <c r="N21" s="17">
        <f>M21/H21</f>
        <v>0.13994814814814815</v>
      </c>
    </row>
    <row r="22" spans="1:14" ht="15" x14ac:dyDescent="0.25">
      <c r="A22" s="18">
        <v>45</v>
      </c>
      <c r="B22" s="28" t="s">
        <v>41</v>
      </c>
      <c r="C22" s="193"/>
      <c r="D22" s="21"/>
      <c r="E22" s="22">
        <v>20000000</v>
      </c>
      <c r="F22" s="34"/>
      <c r="G22" s="61"/>
      <c r="H22" s="20">
        <f t="shared" si="2"/>
        <v>20000000</v>
      </c>
      <c r="I22" s="21">
        <f>MARZO!I20+MARZO!J20</f>
        <v>0</v>
      </c>
      <c r="J22" s="21"/>
      <c r="K22" s="15">
        <v>0</v>
      </c>
      <c r="L22" s="23">
        <f t="shared" si="5"/>
        <v>0</v>
      </c>
      <c r="M22" s="24">
        <f t="shared" si="3"/>
        <v>20000000</v>
      </c>
      <c r="N22" s="17"/>
    </row>
    <row r="23" spans="1:14" ht="15" x14ac:dyDescent="0.25">
      <c r="A23" s="18" t="s">
        <v>42</v>
      </c>
      <c r="B23" s="19" t="s">
        <v>43</v>
      </c>
      <c r="C23" s="30"/>
      <c r="D23" s="21"/>
      <c r="E23" s="22"/>
      <c r="F23" s="34"/>
      <c r="G23" s="61"/>
      <c r="H23" s="20">
        <f t="shared" si="2"/>
        <v>0</v>
      </c>
      <c r="I23" s="21">
        <f>MARZO!I20+MARZO!J20</f>
        <v>0</v>
      </c>
      <c r="J23" s="21">
        <v>0</v>
      </c>
      <c r="K23" s="15">
        <v>0</v>
      </c>
      <c r="L23" s="23">
        <f t="shared" si="5"/>
        <v>0</v>
      </c>
      <c r="M23" s="24">
        <f t="shared" si="3"/>
        <v>0</v>
      </c>
      <c r="N23" s="17">
        <v>0</v>
      </c>
    </row>
    <row r="24" spans="1:14" ht="15" x14ac:dyDescent="0.25">
      <c r="A24" s="18" t="s">
        <v>44</v>
      </c>
      <c r="B24" s="31" t="s">
        <v>45</v>
      </c>
      <c r="C24" s="29"/>
      <c r="D24" s="21"/>
      <c r="E24" s="22"/>
      <c r="F24" s="34"/>
      <c r="G24" s="61"/>
      <c r="H24" s="20">
        <f t="shared" si="2"/>
        <v>0</v>
      </c>
      <c r="I24" s="21">
        <f>MARZO!I21+MARZO!J21</f>
        <v>0</v>
      </c>
      <c r="J24" s="25">
        <v>0</v>
      </c>
      <c r="K24" s="15">
        <v>0</v>
      </c>
      <c r="L24" s="23">
        <f t="shared" si="5"/>
        <v>0</v>
      </c>
      <c r="M24" s="24">
        <f t="shared" si="3"/>
        <v>0</v>
      </c>
      <c r="N24" s="17">
        <v>0</v>
      </c>
    </row>
    <row r="25" spans="1:14" s="69" customFormat="1" ht="27.75" customHeight="1" x14ac:dyDescent="0.2">
      <c r="A25" s="63" t="s">
        <v>46</v>
      </c>
      <c r="B25" s="64" t="s">
        <v>47</v>
      </c>
      <c r="C25" s="65">
        <f t="shared" ref="C25:J25" si="7">SUM(C26:C30)</f>
        <v>16200000</v>
      </c>
      <c r="D25" s="65">
        <f t="shared" si="7"/>
        <v>0</v>
      </c>
      <c r="E25" s="65">
        <f t="shared" si="7"/>
        <v>23000000</v>
      </c>
      <c r="F25" s="65">
        <f t="shared" si="7"/>
        <v>0</v>
      </c>
      <c r="G25" s="65">
        <f t="shared" si="7"/>
        <v>0</v>
      </c>
      <c r="H25" s="65">
        <f t="shared" si="7"/>
        <v>39200000</v>
      </c>
      <c r="I25" s="65">
        <f t="shared" si="7"/>
        <v>15994800</v>
      </c>
      <c r="J25" s="65">
        <f t="shared" si="7"/>
        <v>900600</v>
      </c>
      <c r="K25" s="66">
        <f>L25/H25</f>
        <v>0.43100510204081632</v>
      </c>
      <c r="L25" s="72">
        <f t="shared" si="5"/>
        <v>16895400</v>
      </c>
      <c r="M25" s="65">
        <f>SUM(M26:M30)</f>
        <v>22304600</v>
      </c>
      <c r="N25" s="68">
        <f>M25/H25</f>
        <v>0.56899489795918368</v>
      </c>
    </row>
    <row r="26" spans="1:14" ht="15" x14ac:dyDescent="0.25">
      <c r="A26" s="18" t="s">
        <v>48</v>
      </c>
      <c r="B26" s="31" t="s">
        <v>49</v>
      </c>
      <c r="C26" s="193">
        <v>3000000</v>
      </c>
      <c r="D26" s="21"/>
      <c r="E26" s="22"/>
      <c r="F26" s="34"/>
      <c r="G26" s="61"/>
      <c r="H26" s="20">
        <f>C26-D26+E26+F26-G26</f>
        <v>3000000</v>
      </c>
      <c r="I26" s="21">
        <f>MARZO!I23+MARZO!J23</f>
        <v>0</v>
      </c>
      <c r="J26" s="25">
        <v>0</v>
      </c>
      <c r="K26" s="15">
        <f t="shared" si="4"/>
        <v>0</v>
      </c>
      <c r="L26" s="16">
        <f t="shared" si="5"/>
        <v>0</v>
      </c>
      <c r="M26" s="24">
        <f t="shared" si="3"/>
        <v>3000000</v>
      </c>
      <c r="N26" s="17">
        <v>0</v>
      </c>
    </row>
    <row r="27" spans="1:14" ht="15" x14ac:dyDescent="0.25">
      <c r="A27" s="18">
        <v>45</v>
      </c>
      <c r="B27" s="31" t="s">
        <v>49</v>
      </c>
      <c r="C27" s="193">
        <v>0</v>
      </c>
      <c r="D27" s="21"/>
      <c r="E27" s="22">
        <v>3000000</v>
      </c>
      <c r="F27" s="34"/>
      <c r="G27" s="61"/>
      <c r="H27" s="20">
        <f>C27-D27+E27+F27-G27</f>
        <v>3000000</v>
      </c>
      <c r="I27" s="21">
        <v>0</v>
      </c>
      <c r="J27" s="25">
        <v>0</v>
      </c>
      <c r="K27" s="15">
        <f t="shared" si="4"/>
        <v>0</v>
      </c>
      <c r="L27" s="16">
        <f t="shared" si="5"/>
        <v>0</v>
      </c>
      <c r="M27" s="24">
        <f t="shared" si="3"/>
        <v>3000000</v>
      </c>
      <c r="N27" s="17"/>
    </row>
    <row r="28" spans="1:14" ht="15" x14ac:dyDescent="0.25">
      <c r="A28" s="18" t="s">
        <v>50</v>
      </c>
      <c r="B28" s="32" t="s">
        <v>51</v>
      </c>
      <c r="C28" s="193">
        <v>12000000</v>
      </c>
      <c r="D28" s="21"/>
      <c r="E28" s="22">
        <v>20000000</v>
      </c>
      <c r="F28" s="34"/>
      <c r="G28" s="61"/>
      <c r="H28" s="20">
        <f>C28-D28+E28+F28-G28</f>
        <v>32000000</v>
      </c>
      <c r="I28" s="21">
        <f>MARZO!I24+MARZO!J24</f>
        <v>15994800</v>
      </c>
      <c r="J28" s="21">
        <f>'LIBRO DE PRESUPUESTO'!J145</f>
        <v>900600</v>
      </c>
      <c r="K28" s="15">
        <f t="shared" si="4"/>
        <v>0.52798124999999996</v>
      </c>
      <c r="L28" s="23">
        <f t="shared" si="5"/>
        <v>16895400</v>
      </c>
      <c r="M28" s="24">
        <f t="shared" si="3"/>
        <v>15104600</v>
      </c>
      <c r="N28" s="33">
        <f>M28/H28</f>
        <v>0.47201874999999999</v>
      </c>
    </row>
    <row r="29" spans="1:14" ht="15" x14ac:dyDescent="0.25">
      <c r="A29" s="18" t="s">
        <v>52</v>
      </c>
      <c r="B29" s="31" t="s">
        <v>53</v>
      </c>
      <c r="C29" s="193">
        <v>1200000</v>
      </c>
      <c r="D29" s="21"/>
      <c r="E29" s="22"/>
      <c r="F29" s="34"/>
      <c r="G29" s="62"/>
      <c r="H29" s="20">
        <f>C29-D29+E29+F29-G29</f>
        <v>1200000</v>
      </c>
      <c r="I29" s="21">
        <f>MARZO!I25+MARZO!J25</f>
        <v>0</v>
      </c>
      <c r="J29" s="21">
        <v>0</v>
      </c>
      <c r="K29" s="15">
        <f t="shared" si="4"/>
        <v>0</v>
      </c>
      <c r="L29" s="16">
        <f t="shared" si="5"/>
        <v>0</v>
      </c>
      <c r="M29" s="24">
        <f t="shared" si="3"/>
        <v>1200000</v>
      </c>
      <c r="N29" s="33">
        <f>M29/H29</f>
        <v>1</v>
      </c>
    </row>
    <row r="30" spans="1:14" ht="15" x14ac:dyDescent="0.25">
      <c r="A30" s="18" t="s">
        <v>54</v>
      </c>
      <c r="B30" s="31" t="s">
        <v>55</v>
      </c>
      <c r="C30" s="193">
        <v>0</v>
      </c>
      <c r="D30" s="21"/>
      <c r="E30" s="22"/>
      <c r="F30" s="34"/>
      <c r="G30" s="61"/>
      <c r="H30" s="20">
        <f>C30-D30+E30+F30-G30</f>
        <v>0</v>
      </c>
      <c r="I30" s="21">
        <f>MARZO!I26+MARZO!J26</f>
        <v>0</v>
      </c>
      <c r="J30" s="21"/>
      <c r="K30" s="15">
        <v>0</v>
      </c>
      <c r="L30" s="16">
        <f t="shared" si="5"/>
        <v>0</v>
      </c>
      <c r="M30" s="24">
        <f t="shared" si="3"/>
        <v>0</v>
      </c>
      <c r="N30" s="33">
        <v>0</v>
      </c>
    </row>
    <row r="31" spans="1:14" s="69" customFormat="1" ht="27.75" customHeight="1" x14ac:dyDescent="0.2">
      <c r="A31" s="63" t="s">
        <v>56</v>
      </c>
      <c r="B31" s="64" t="s">
        <v>57</v>
      </c>
      <c r="C31" s="65">
        <f t="shared" ref="C31:J31" si="8">SUM(C32:C48)</f>
        <v>75448328</v>
      </c>
      <c r="D31" s="65">
        <f t="shared" si="8"/>
        <v>0</v>
      </c>
      <c r="E31" s="65">
        <f t="shared" si="8"/>
        <v>122000000</v>
      </c>
      <c r="F31" s="65">
        <f t="shared" si="8"/>
        <v>631976</v>
      </c>
      <c r="G31" s="65">
        <f t="shared" si="8"/>
        <v>0</v>
      </c>
      <c r="H31" s="65">
        <f t="shared" si="8"/>
        <v>198080304</v>
      </c>
      <c r="I31" s="65">
        <f t="shared" si="8"/>
        <v>52402700</v>
      </c>
      <c r="J31" s="65">
        <f t="shared" si="8"/>
        <v>6196888</v>
      </c>
      <c r="K31" s="66">
        <f>L31/H31</f>
        <v>0.29583753062091422</v>
      </c>
      <c r="L31" s="67">
        <f>I31+J31</f>
        <v>58599588</v>
      </c>
      <c r="M31" s="72">
        <f>SUM(M32:M48)</f>
        <v>139480716</v>
      </c>
      <c r="N31" s="68">
        <f>M31/H31</f>
        <v>0.70416246937908578</v>
      </c>
    </row>
    <row r="32" spans="1:14" ht="15" x14ac:dyDescent="0.25">
      <c r="A32" s="18" t="s">
        <v>58</v>
      </c>
      <c r="B32" s="31" t="s">
        <v>59</v>
      </c>
      <c r="C32" s="193">
        <v>180000</v>
      </c>
      <c r="D32" s="21"/>
      <c r="E32" s="22">
        <f>16000000</f>
        <v>16000000</v>
      </c>
      <c r="F32" s="34"/>
      <c r="G32" s="61"/>
      <c r="H32" s="20">
        <f t="shared" ref="H32:H48" si="9">C32-D32+E32+F32-G32</f>
        <v>16180000</v>
      </c>
      <c r="I32" s="21">
        <f>MARZO!I28+MARZO!J28</f>
        <v>16130000</v>
      </c>
      <c r="J32" s="21">
        <f>'LIBRO DE PRESUPUESTO'!J170-1085000</f>
        <v>50000</v>
      </c>
      <c r="K32" s="15">
        <f t="shared" si="4"/>
        <v>1</v>
      </c>
      <c r="L32" s="23">
        <f t="shared" ref="L32:L50" si="10">J32+I32</f>
        <v>16180000</v>
      </c>
      <c r="M32" s="24">
        <f t="shared" si="3"/>
        <v>0</v>
      </c>
      <c r="N32" s="33">
        <f>M32/H32</f>
        <v>0</v>
      </c>
    </row>
    <row r="33" spans="1:14" ht="15" x14ac:dyDescent="0.25">
      <c r="A33" s="18">
        <v>45</v>
      </c>
      <c r="B33" s="31" t="s">
        <v>59</v>
      </c>
      <c r="C33" s="193">
        <v>0</v>
      </c>
      <c r="D33" s="21"/>
      <c r="E33" s="22">
        <v>15000000</v>
      </c>
      <c r="F33" s="34"/>
      <c r="G33" s="61"/>
      <c r="H33" s="20">
        <f t="shared" si="9"/>
        <v>15000000</v>
      </c>
      <c r="I33" s="21">
        <v>0</v>
      </c>
      <c r="J33" s="21">
        <v>1085000</v>
      </c>
      <c r="K33" s="15">
        <f t="shared" si="4"/>
        <v>7.2333333333333333E-2</v>
      </c>
      <c r="L33" s="23">
        <f t="shared" si="10"/>
        <v>1085000</v>
      </c>
      <c r="M33" s="24">
        <f t="shared" si="3"/>
        <v>13915000</v>
      </c>
      <c r="N33" s="33"/>
    </row>
    <row r="34" spans="1:14" ht="15" x14ac:dyDescent="0.25">
      <c r="A34" s="18" t="s">
        <v>60</v>
      </c>
      <c r="B34" s="31" t="s">
        <v>61</v>
      </c>
      <c r="C34" s="193">
        <v>39298328</v>
      </c>
      <c r="D34" s="21"/>
      <c r="E34" s="22"/>
      <c r="F34" s="34"/>
      <c r="G34" s="61"/>
      <c r="H34" s="20">
        <f t="shared" si="9"/>
        <v>39298328</v>
      </c>
      <c r="I34" s="21">
        <f>MARZO!I29+MARZO!J29</f>
        <v>24172668</v>
      </c>
      <c r="J34" s="21">
        <f>SUM('LIBRO DE PRESUPUESTO'!J208:J215)</f>
        <v>3373500</v>
      </c>
      <c r="K34" s="15">
        <f t="shared" si="4"/>
        <v>0.70095012693669823</v>
      </c>
      <c r="L34" s="23">
        <f t="shared" si="10"/>
        <v>27546168</v>
      </c>
      <c r="M34" s="24">
        <f t="shared" si="3"/>
        <v>11752160</v>
      </c>
      <c r="N34" s="33">
        <f>M34/H34</f>
        <v>0.29904987306330183</v>
      </c>
    </row>
    <row r="35" spans="1:14" ht="15" x14ac:dyDescent="0.25">
      <c r="A35" s="18">
        <v>45</v>
      </c>
      <c r="B35" s="31" t="s">
        <v>61</v>
      </c>
      <c r="C35" s="193"/>
      <c r="D35" s="21"/>
      <c r="E35" s="22">
        <v>50000000</v>
      </c>
      <c r="F35" s="34"/>
      <c r="G35" s="61"/>
      <c r="H35" s="20">
        <f t="shared" si="9"/>
        <v>50000000</v>
      </c>
      <c r="I35" s="21">
        <v>0</v>
      </c>
      <c r="J35" s="21">
        <v>0</v>
      </c>
      <c r="K35" s="15">
        <f t="shared" si="4"/>
        <v>0</v>
      </c>
      <c r="L35" s="23">
        <f t="shared" si="10"/>
        <v>0</v>
      </c>
      <c r="M35" s="24">
        <f t="shared" si="3"/>
        <v>50000000</v>
      </c>
      <c r="N35" s="33"/>
    </row>
    <row r="36" spans="1:14" ht="15" x14ac:dyDescent="0.25">
      <c r="A36" s="18" t="s">
        <v>62</v>
      </c>
      <c r="B36" s="31" t="s">
        <v>63</v>
      </c>
      <c r="C36" s="193">
        <v>1200000</v>
      </c>
      <c r="D36" s="21"/>
      <c r="E36" s="22"/>
      <c r="F36" s="34"/>
      <c r="G36" s="61"/>
      <c r="H36" s="20">
        <f t="shared" si="9"/>
        <v>1200000</v>
      </c>
      <c r="I36" s="21">
        <f>MARZO!I30+MARZO!J30</f>
        <v>200000</v>
      </c>
      <c r="J36" s="41">
        <f>'LIBRO DE PRESUPUESTO'!J258</f>
        <v>167000</v>
      </c>
      <c r="K36" s="15">
        <f t="shared" si="4"/>
        <v>0.30583333333333335</v>
      </c>
      <c r="L36" s="23">
        <f t="shared" si="10"/>
        <v>367000</v>
      </c>
      <c r="M36" s="24">
        <f t="shared" si="3"/>
        <v>833000</v>
      </c>
      <c r="N36" s="33">
        <f>M36/H36</f>
        <v>0.69416666666666671</v>
      </c>
    </row>
    <row r="37" spans="1:14" ht="15" x14ac:dyDescent="0.25">
      <c r="A37" s="18" t="s">
        <v>64</v>
      </c>
      <c r="B37" s="31" t="s">
        <v>65</v>
      </c>
      <c r="C37" s="193">
        <f>900000*12</f>
        <v>10800000</v>
      </c>
      <c r="D37" s="21"/>
      <c r="E37" s="22"/>
      <c r="F37" s="34"/>
      <c r="G37" s="61"/>
      <c r="H37" s="20">
        <f t="shared" si="9"/>
        <v>10800000</v>
      </c>
      <c r="I37" s="21">
        <f>MARZO!I31+MARZO!J31</f>
        <v>2333700</v>
      </c>
      <c r="J37" s="41">
        <f>'LIBRO DE PRESUPUESTO'!J280</f>
        <v>808700</v>
      </c>
      <c r="K37" s="15">
        <f t="shared" si="4"/>
        <v>0.29096296296296298</v>
      </c>
      <c r="L37" s="23">
        <f t="shared" si="10"/>
        <v>3142400</v>
      </c>
      <c r="M37" s="24">
        <f t="shared" si="3"/>
        <v>7657600</v>
      </c>
      <c r="N37" s="17">
        <f>M37/H37</f>
        <v>0.70903703703703702</v>
      </c>
    </row>
    <row r="38" spans="1:14" ht="15" x14ac:dyDescent="0.25">
      <c r="A38" s="18" t="s">
        <v>66</v>
      </c>
      <c r="B38" s="31" t="s">
        <v>67</v>
      </c>
      <c r="C38" s="193">
        <f>550000*12</f>
        <v>6600000</v>
      </c>
      <c r="D38" s="21"/>
      <c r="E38" s="22"/>
      <c r="F38" s="34"/>
      <c r="G38" s="61"/>
      <c r="H38" s="20">
        <f t="shared" si="9"/>
        <v>6600000</v>
      </c>
      <c r="I38" s="21">
        <f>MARZO!I32+MARZO!J32</f>
        <v>1412450</v>
      </c>
      <c r="J38" s="41">
        <f>SUM('LIBRO DE PRESUPUESTO'!J300:J302)</f>
        <v>580398</v>
      </c>
      <c r="K38" s="15">
        <f t="shared" si="4"/>
        <v>0.30194666666666664</v>
      </c>
      <c r="L38" s="23">
        <f t="shared" si="10"/>
        <v>1992848</v>
      </c>
      <c r="M38" s="24">
        <f t="shared" si="3"/>
        <v>4607152</v>
      </c>
      <c r="N38" s="17">
        <f>M38/H38</f>
        <v>0.6980533333333333</v>
      </c>
    </row>
    <row r="39" spans="1:14" ht="15" x14ac:dyDescent="0.25">
      <c r="A39" s="18" t="s">
        <v>68</v>
      </c>
      <c r="B39" s="31" t="s">
        <v>69</v>
      </c>
      <c r="C39" s="193">
        <f>160000*12</f>
        <v>1920000</v>
      </c>
      <c r="D39" s="21"/>
      <c r="E39" s="22"/>
      <c r="F39" s="34"/>
      <c r="G39" s="61"/>
      <c r="H39" s="20">
        <f t="shared" si="9"/>
        <v>1920000</v>
      </c>
      <c r="I39" s="21">
        <f>MARZO!I33+MARZO!J33</f>
        <v>367630</v>
      </c>
      <c r="J39" s="25">
        <f>'LIBRO DE PRESUPUESTO'!J324+'LIBRO DE PRESUPUESTO'!J325</f>
        <v>132290</v>
      </c>
      <c r="K39" s="15">
        <f t="shared" si="4"/>
        <v>0.26037500000000002</v>
      </c>
      <c r="L39" s="23">
        <f t="shared" si="10"/>
        <v>499920</v>
      </c>
      <c r="M39" s="24">
        <f t="shared" si="3"/>
        <v>1420080</v>
      </c>
      <c r="N39" s="17">
        <v>0</v>
      </c>
    </row>
    <row r="40" spans="1:14" ht="15" x14ac:dyDescent="0.25">
      <c r="A40" s="18" t="s">
        <v>70</v>
      </c>
      <c r="B40" s="32" t="s">
        <v>71</v>
      </c>
      <c r="C40" s="193">
        <v>1500000</v>
      </c>
      <c r="D40" s="21"/>
      <c r="E40" s="22"/>
      <c r="F40" s="34"/>
      <c r="G40" s="61"/>
      <c r="H40" s="20">
        <f t="shared" si="9"/>
        <v>1500000</v>
      </c>
      <c r="I40" s="21">
        <f>MARZO!I34+MARZO!J34</f>
        <v>0</v>
      </c>
      <c r="J40" s="21">
        <v>0</v>
      </c>
      <c r="K40" s="15">
        <f t="shared" si="4"/>
        <v>0</v>
      </c>
      <c r="L40" s="23">
        <f t="shared" si="10"/>
        <v>0</v>
      </c>
      <c r="M40" s="24">
        <f t="shared" si="3"/>
        <v>1500000</v>
      </c>
      <c r="N40" s="17">
        <f>M40/H40</f>
        <v>1</v>
      </c>
    </row>
    <row r="41" spans="1:14" ht="15" x14ac:dyDescent="0.25">
      <c r="A41" s="18" t="s">
        <v>72</v>
      </c>
      <c r="B41" s="31" t="s">
        <v>73</v>
      </c>
      <c r="C41" s="193">
        <v>0</v>
      </c>
      <c r="D41" s="21"/>
      <c r="E41" s="22"/>
      <c r="F41" s="36"/>
      <c r="G41" s="61"/>
      <c r="H41" s="20">
        <f t="shared" si="9"/>
        <v>0</v>
      </c>
      <c r="I41" s="21">
        <f>MARZO!I35+MARZO!J35</f>
        <v>0</v>
      </c>
      <c r="J41" s="21">
        <v>0</v>
      </c>
      <c r="K41" s="15">
        <v>0</v>
      </c>
      <c r="L41" s="23">
        <f t="shared" si="10"/>
        <v>0</v>
      </c>
      <c r="M41" s="24">
        <f t="shared" si="3"/>
        <v>0</v>
      </c>
      <c r="N41" s="17">
        <v>0</v>
      </c>
    </row>
    <row r="42" spans="1:14" ht="15" x14ac:dyDescent="0.25">
      <c r="A42" s="18" t="s">
        <v>74</v>
      </c>
      <c r="B42" s="31" t="s">
        <v>75</v>
      </c>
      <c r="C42" s="193">
        <v>8000000</v>
      </c>
      <c r="D42" s="21"/>
      <c r="E42" s="22"/>
      <c r="F42" s="34">
        <f>'LIBRO DE PRESUPUESTO'!G356</f>
        <v>631976</v>
      </c>
      <c r="G42" s="61"/>
      <c r="H42" s="20">
        <f t="shared" si="9"/>
        <v>8631976</v>
      </c>
      <c r="I42" s="21">
        <f>MARZO!I36+MARZO!J36</f>
        <v>7786252</v>
      </c>
      <c r="J42" s="43">
        <v>0</v>
      </c>
      <c r="K42" s="15">
        <f t="shared" si="4"/>
        <v>0.90202428737058582</v>
      </c>
      <c r="L42" s="23">
        <f t="shared" si="10"/>
        <v>7786252</v>
      </c>
      <c r="M42" s="24">
        <f t="shared" si="3"/>
        <v>845724</v>
      </c>
      <c r="N42" s="17">
        <f>M42/H42</f>
        <v>9.7975712629414166E-2</v>
      </c>
    </row>
    <row r="43" spans="1:14" ht="15" x14ac:dyDescent="0.25">
      <c r="A43" s="18" t="s">
        <v>76</v>
      </c>
      <c r="B43" s="32" t="s">
        <v>77</v>
      </c>
      <c r="C43" s="193">
        <v>5000000</v>
      </c>
      <c r="D43" s="21"/>
      <c r="E43" s="22">
        <v>20000000</v>
      </c>
      <c r="F43" s="34"/>
      <c r="G43" s="61"/>
      <c r="H43" s="20">
        <f t="shared" si="9"/>
        <v>25000000</v>
      </c>
      <c r="I43" s="21">
        <f>MARZO!I37+MARZO!J37</f>
        <v>0</v>
      </c>
      <c r="J43" s="43">
        <v>0</v>
      </c>
      <c r="K43" s="15">
        <f t="shared" si="4"/>
        <v>0</v>
      </c>
      <c r="L43" s="23">
        <f t="shared" si="10"/>
        <v>0</v>
      </c>
      <c r="M43" s="24">
        <f t="shared" si="3"/>
        <v>25000000</v>
      </c>
      <c r="N43" s="17">
        <f>M43/H43</f>
        <v>1</v>
      </c>
    </row>
    <row r="44" spans="1:14" ht="15" x14ac:dyDescent="0.25">
      <c r="A44" s="18" t="s">
        <v>78</v>
      </c>
      <c r="B44" s="31" t="s">
        <v>79</v>
      </c>
      <c r="C44" s="193">
        <v>0</v>
      </c>
      <c r="D44" s="21"/>
      <c r="E44" s="22">
        <v>3000000</v>
      </c>
      <c r="F44" s="34"/>
      <c r="G44" s="61"/>
      <c r="H44" s="20">
        <f t="shared" si="9"/>
        <v>3000000</v>
      </c>
      <c r="I44" s="21">
        <f>MARZO!I38+MARZO!J38</f>
        <v>0</v>
      </c>
      <c r="J44" s="43">
        <v>0</v>
      </c>
      <c r="K44" s="15">
        <f t="shared" si="4"/>
        <v>0</v>
      </c>
      <c r="L44" s="23">
        <f t="shared" si="10"/>
        <v>0</v>
      </c>
      <c r="M44" s="24">
        <f t="shared" si="3"/>
        <v>3000000</v>
      </c>
      <c r="N44" s="17">
        <f>M44/H44</f>
        <v>1</v>
      </c>
    </row>
    <row r="45" spans="1:14" ht="15" x14ac:dyDescent="0.25">
      <c r="A45" s="18" t="s">
        <v>80</v>
      </c>
      <c r="B45" s="31" t="s">
        <v>81</v>
      </c>
      <c r="C45" s="193">
        <v>0</v>
      </c>
      <c r="D45" s="21"/>
      <c r="E45" s="22">
        <v>15000000</v>
      </c>
      <c r="F45" s="34"/>
      <c r="G45" s="61"/>
      <c r="H45" s="20">
        <f t="shared" si="9"/>
        <v>15000000</v>
      </c>
      <c r="I45" s="21">
        <f>MARZO!I39+MARZO!J39</f>
        <v>0</v>
      </c>
      <c r="J45" s="21">
        <v>0</v>
      </c>
      <c r="K45" s="15">
        <f t="shared" si="4"/>
        <v>0</v>
      </c>
      <c r="L45" s="23">
        <f t="shared" si="10"/>
        <v>0</v>
      </c>
      <c r="M45" s="24">
        <f t="shared" si="3"/>
        <v>15000000</v>
      </c>
      <c r="N45" s="17">
        <f>M45/H45</f>
        <v>1</v>
      </c>
    </row>
    <row r="46" spans="1:14" ht="15" x14ac:dyDescent="0.25">
      <c r="A46" s="18" t="s">
        <v>82</v>
      </c>
      <c r="B46" s="31" t="s">
        <v>83</v>
      </c>
      <c r="C46" s="193">
        <v>0</v>
      </c>
      <c r="D46" s="21"/>
      <c r="E46" s="22">
        <v>3000000</v>
      </c>
      <c r="F46" s="34"/>
      <c r="G46" s="61"/>
      <c r="H46" s="20">
        <f t="shared" si="9"/>
        <v>3000000</v>
      </c>
      <c r="I46" s="21">
        <f>MARZO!I40+MARZO!J40</f>
        <v>0</v>
      </c>
      <c r="J46" s="21">
        <v>0</v>
      </c>
      <c r="K46" s="15">
        <f t="shared" si="4"/>
        <v>0</v>
      </c>
      <c r="L46" s="23">
        <f t="shared" si="10"/>
        <v>0</v>
      </c>
      <c r="M46" s="24">
        <f t="shared" si="3"/>
        <v>3000000</v>
      </c>
      <c r="N46" s="17">
        <f>M46/H46</f>
        <v>1</v>
      </c>
    </row>
    <row r="47" spans="1:14" ht="15" x14ac:dyDescent="0.25">
      <c r="A47" s="18" t="s">
        <v>84</v>
      </c>
      <c r="B47" s="31" t="s">
        <v>85</v>
      </c>
      <c r="C47" s="193">
        <v>0</v>
      </c>
      <c r="D47" s="21"/>
      <c r="E47" s="22"/>
      <c r="F47" s="34"/>
      <c r="G47" s="61"/>
      <c r="H47" s="20">
        <f t="shared" si="9"/>
        <v>0</v>
      </c>
      <c r="I47" s="21">
        <f>MARZO!I41+MARZO!J41</f>
        <v>0</v>
      </c>
      <c r="J47" s="21">
        <v>0</v>
      </c>
      <c r="K47" s="15">
        <v>0</v>
      </c>
      <c r="L47" s="23">
        <f t="shared" si="10"/>
        <v>0</v>
      </c>
      <c r="M47" s="24">
        <f t="shared" si="3"/>
        <v>0</v>
      </c>
      <c r="N47" s="17">
        <v>0</v>
      </c>
    </row>
    <row r="48" spans="1:14" ht="15" x14ac:dyDescent="0.25">
      <c r="A48" s="96">
        <v>2020120215</v>
      </c>
      <c r="B48" s="31" t="s">
        <v>118</v>
      </c>
      <c r="C48" s="193">
        <v>950000</v>
      </c>
      <c r="D48" s="21"/>
      <c r="E48" s="22"/>
      <c r="F48" s="34"/>
      <c r="G48" s="61"/>
      <c r="H48" s="20">
        <f t="shared" si="9"/>
        <v>950000</v>
      </c>
      <c r="I48" s="21">
        <f>MARZO!I42+MARZO!J42</f>
        <v>0</v>
      </c>
      <c r="J48" s="21">
        <v>0</v>
      </c>
      <c r="K48" s="15">
        <f t="shared" si="4"/>
        <v>0</v>
      </c>
      <c r="L48" s="23">
        <f t="shared" si="10"/>
        <v>0</v>
      </c>
      <c r="M48" s="24">
        <f t="shared" si="3"/>
        <v>950000</v>
      </c>
      <c r="N48" s="17">
        <f t="shared" ref="N48:N57" si="11">M48/H48</f>
        <v>1</v>
      </c>
    </row>
    <row r="49" spans="1:16" ht="15.75" x14ac:dyDescent="0.2">
      <c r="A49" s="63">
        <v>20201203</v>
      </c>
      <c r="B49" s="79" t="s">
        <v>190</v>
      </c>
      <c r="C49" s="312">
        <f t="shared" ref="C49:J49" si="12">C50</f>
        <v>0</v>
      </c>
      <c r="D49" s="312">
        <f t="shared" si="12"/>
        <v>0</v>
      </c>
      <c r="E49" s="312">
        <f t="shared" si="12"/>
        <v>0</v>
      </c>
      <c r="F49" s="312">
        <f t="shared" si="12"/>
        <v>1000000</v>
      </c>
      <c r="G49" s="312">
        <f t="shared" si="12"/>
        <v>0</v>
      </c>
      <c r="H49" s="312">
        <f t="shared" si="12"/>
        <v>1000000</v>
      </c>
      <c r="I49" s="313">
        <f t="shared" si="12"/>
        <v>0</v>
      </c>
      <c r="J49" s="327">
        <f t="shared" si="12"/>
        <v>0</v>
      </c>
      <c r="K49" s="314">
        <v>0</v>
      </c>
      <c r="L49" s="63">
        <f t="shared" si="10"/>
        <v>0</v>
      </c>
      <c r="M49" s="315">
        <f>M50</f>
        <v>1000000</v>
      </c>
      <c r="N49" s="328">
        <f t="shared" si="11"/>
        <v>1</v>
      </c>
    </row>
    <row r="50" spans="1:16" ht="15" x14ac:dyDescent="0.25">
      <c r="A50" s="96">
        <v>2020120301</v>
      </c>
      <c r="B50" s="31" t="s">
        <v>191</v>
      </c>
      <c r="C50" s="311"/>
      <c r="D50" s="21"/>
      <c r="E50" s="22"/>
      <c r="F50" s="34">
        <v>1000000</v>
      </c>
      <c r="G50" s="61"/>
      <c r="H50" s="20">
        <f>C50-D50+E50+F50-G50</f>
        <v>1000000</v>
      </c>
      <c r="I50" s="21">
        <v>0</v>
      </c>
      <c r="J50" s="21">
        <v>0</v>
      </c>
      <c r="K50" s="15"/>
      <c r="L50" s="23">
        <f t="shared" si="10"/>
        <v>0</v>
      </c>
      <c r="M50" s="24">
        <f t="shared" si="3"/>
        <v>1000000</v>
      </c>
      <c r="N50" s="17">
        <f t="shared" si="11"/>
        <v>1</v>
      </c>
    </row>
    <row r="51" spans="1:16" s="69" customFormat="1" ht="27.75" customHeight="1" x14ac:dyDescent="0.2">
      <c r="A51" s="63" t="s">
        <v>86</v>
      </c>
      <c r="B51" s="79" t="s">
        <v>87</v>
      </c>
      <c r="C51" s="70">
        <f>SUM(C52:C55)</f>
        <v>83777302.320260897</v>
      </c>
      <c r="D51" s="70">
        <f t="shared" ref="D51:J51" si="13">SUM(D52:D55)</f>
        <v>0</v>
      </c>
      <c r="E51" s="70">
        <f t="shared" si="13"/>
        <v>0</v>
      </c>
      <c r="F51" s="70">
        <f t="shared" si="13"/>
        <v>0</v>
      </c>
      <c r="G51" s="70">
        <f t="shared" si="13"/>
        <v>0</v>
      </c>
      <c r="H51" s="70">
        <f t="shared" si="13"/>
        <v>83777302.320260897</v>
      </c>
      <c r="I51" s="70">
        <f t="shared" si="13"/>
        <v>14752517</v>
      </c>
      <c r="J51" s="70">
        <f t="shared" si="13"/>
        <v>4738768</v>
      </c>
      <c r="K51" s="66">
        <f>L51/H51</f>
        <v>0.23265591586476977</v>
      </c>
      <c r="L51" s="70">
        <f>SUM(L52:L55)</f>
        <v>19491285</v>
      </c>
      <c r="M51" s="70">
        <f>SUM(M52:M55)</f>
        <v>64286017.320260897</v>
      </c>
      <c r="N51" s="68">
        <f t="shared" si="11"/>
        <v>0.76734408413523025</v>
      </c>
    </row>
    <row r="52" spans="1:16" ht="15" x14ac:dyDescent="0.25">
      <c r="A52" s="18" t="s">
        <v>88</v>
      </c>
      <c r="B52" s="31" t="s">
        <v>89</v>
      </c>
      <c r="C52" s="215">
        <v>13146617.570005897</v>
      </c>
      <c r="D52" s="329"/>
      <c r="E52" s="22"/>
      <c r="F52" s="34"/>
      <c r="G52" s="61"/>
      <c r="H52" s="20">
        <f>C52-D52+E52+F52-G52</f>
        <v>13146617.570005897</v>
      </c>
      <c r="I52" s="21">
        <f>MARZO!I46+MARZO!J46</f>
        <v>0</v>
      </c>
      <c r="J52" s="42">
        <v>0</v>
      </c>
      <c r="K52" s="15">
        <f t="shared" ref="K52:K65" si="14">L52/H52</f>
        <v>0</v>
      </c>
      <c r="L52" s="23">
        <f>J52+I52</f>
        <v>0</v>
      </c>
      <c r="M52" s="24">
        <f t="shared" si="3"/>
        <v>13146617.570005897</v>
      </c>
      <c r="N52" s="17">
        <f t="shared" si="11"/>
        <v>1</v>
      </c>
    </row>
    <row r="53" spans="1:16" ht="15" x14ac:dyDescent="0.25">
      <c r="A53" s="18" t="s">
        <v>90</v>
      </c>
      <c r="B53" s="31" t="s">
        <v>91</v>
      </c>
      <c r="C53" s="215">
        <v>43392204</v>
      </c>
      <c r="D53" s="329"/>
      <c r="E53" s="22"/>
      <c r="F53" s="34"/>
      <c r="G53" s="61"/>
      <c r="H53" s="20">
        <f>C53-D53+E53+F53-G53</f>
        <v>43392204</v>
      </c>
      <c r="I53" s="21">
        <f>MARZO!I47+MARZO!J47</f>
        <v>10693281</v>
      </c>
      <c r="J53" s="41">
        <f>'LIBRO DE PRESUPUESTO'!J428</f>
        <v>3561692</v>
      </c>
      <c r="K53" s="15">
        <f t="shared" si="14"/>
        <v>0.32851461059687126</v>
      </c>
      <c r="L53" s="23">
        <f>J53+I53</f>
        <v>14254973</v>
      </c>
      <c r="M53" s="24">
        <f t="shared" si="3"/>
        <v>29137231</v>
      </c>
      <c r="N53" s="17">
        <f t="shared" si="11"/>
        <v>0.67148538940312874</v>
      </c>
      <c r="P53" s="35"/>
    </row>
    <row r="54" spans="1:16" ht="15" x14ac:dyDescent="0.25">
      <c r="A54" s="26">
        <v>2020110304</v>
      </c>
      <c r="B54" s="31" t="s">
        <v>92</v>
      </c>
      <c r="C54" s="215">
        <v>21030768.590477761</v>
      </c>
      <c r="D54" s="329"/>
      <c r="E54" s="22"/>
      <c r="F54" s="34"/>
      <c r="G54" s="61"/>
      <c r="H54" s="20">
        <f>C54-D54+E54+F54-G54</f>
        <v>21030768.590477761</v>
      </c>
      <c r="I54" s="21">
        <f>MARZO!I48+MARZO!J48</f>
        <v>4059236</v>
      </c>
      <c r="J54" s="41">
        <f>'LIBRO DE PRESUPUESTO'!J442</f>
        <v>1177076</v>
      </c>
      <c r="K54" s="15">
        <f t="shared" si="14"/>
        <v>0.24898338724391078</v>
      </c>
      <c r="L54" s="23">
        <f>J54+I54</f>
        <v>5236312</v>
      </c>
      <c r="M54" s="24">
        <f t="shared" si="3"/>
        <v>15794456.590477761</v>
      </c>
      <c r="N54" s="17">
        <f t="shared" si="11"/>
        <v>0.75101661275608922</v>
      </c>
      <c r="P54" s="35"/>
    </row>
    <row r="55" spans="1:16" ht="15" x14ac:dyDescent="0.25">
      <c r="A55" s="26">
        <v>2020110305</v>
      </c>
      <c r="B55" s="31" t="s">
        <v>93</v>
      </c>
      <c r="C55" s="215">
        <v>6207712.159777239</v>
      </c>
      <c r="D55" s="330"/>
      <c r="E55" s="22"/>
      <c r="F55" s="34"/>
      <c r="G55" s="44"/>
      <c r="H55" s="20">
        <f>C55-D55+E55+F55-G55</f>
        <v>6207712.159777239</v>
      </c>
      <c r="I55" s="21">
        <f>MARZO!I49+MARZO!J49</f>
        <v>0</v>
      </c>
      <c r="J55" s="20">
        <v>0</v>
      </c>
      <c r="K55" s="15">
        <f t="shared" si="14"/>
        <v>0</v>
      </c>
      <c r="L55" s="23">
        <f>J55+I55</f>
        <v>0</v>
      </c>
      <c r="M55" s="24">
        <f t="shared" si="3"/>
        <v>6207712.159777239</v>
      </c>
      <c r="N55" s="17">
        <f t="shared" si="11"/>
        <v>1</v>
      </c>
      <c r="P55" s="35"/>
    </row>
    <row r="56" spans="1:16" s="69" customFormat="1" ht="27.75" customHeight="1" x14ac:dyDescent="0.2">
      <c r="A56" s="63">
        <v>20201104</v>
      </c>
      <c r="B56" s="80" t="s">
        <v>94</v>
      </c>
      <c r="C56" s="70">
        <f t="shared" ref="C56:J56" si="15">SUM(C57:C66)</f>
        <v>127422616</v>
      </c>
      <c r="D56" s="70">
        <f t="shared" si="15"/>
        <v>0</v>
      </c>
      <c r="E56" s="70">
        <f t="shared" si="15"/>
        <v>0</v>
      </c>
      <c r="F56" s="70">
        <f t="shared" si="15"/>
        <v>0</v>
      </c>
      <c r="G56" s="70">
        <f t="shared" si="15"/>
        <v>0</v>
      </c>
      <c r="H56" s="70">
        <f t="shared" si="15"/>
        <v>127422616</v>
      </c>
      <c r="I56" s="65">
        <f t="shared" si="15"/>
        <v>24920676</v>
      </c>
      <c r="J56" s="65">
        <f t="shared" si="15"/>
        <v>7135656</v>
      </c>
      <c r="K56" s="66">
        <f>L56/H56</f>
        <v>0.25157490095792728</v>
      </c>
      <c r="L56" s="67">
        <f>SUM(L57:L66)</f>
        <v>32056332</v>
      </c>
      <c r="M56" s="72">
        <f>SUM(M57:M66)</f>
        <v>95366284</v>
      </c>
      <c r="N56" s="68">
        <f t="shared" si="11"/>
        <v>0.74842509904207277</v>
      </c>
      <c r="P56" s="76"/>
    </row>
    <row r="57" spans="1:16" ht="15" x14ac:dyDescent="0.25">
      <c r="A57" s="75" t="s">
        <v>95</v>
      </c>
      <c r="B57" s="31" t="s">
        <v>96</v>
      </c>
      <c r="C57" s="215">
        <v>38584317</v>
      </c>
      <c r="D57" s="329"/>
      <c r="E57" s="22"/>
      <c r="F57" s="34"/>
      <c r="G57" s="61"/>
      <c r="H57" s="20">
        <f t="shared" ref="H57:H69" si="16">C57-D57+E57+F57-G57</f>
        <v>38584317</v>
      </c>
      <c r="I57" s="21">
        <f>MARZO!I51+MARZO!J51</f>
        <v>889141</v>
      </c>
      <c r="J57" s="25"/>
      <c r="K57" s="15">
        <f t="shared" si="14"/>
        <v>2.3044103644493694E-2</v>
      </c>
      <c r="L57" s="23">
        <f t="shared" ref="L57:L69" si="17">J57+I57</f>
        <v>889141</v>
      </c>
      <c r="M57" s="24">
        <f t="shared" si="3"/>
        <v>37695176</v>
      </c>
      <c r="N57" s="17">
        <f t="shared" si="11"/>
        <v>0.97695589635550628</v>
      </c>
      <c r="P57" s="35"/>
    </row>
    <row r="58" spans="1:16" ht="15" x14ac:dyDescent="0.25">
      <c r="A58" s="18" t="s">
        <v>97</v>
      </c>
      <c r="B58" s="31" t="s">
        <v>91</v>
      </c>
      <c r="C58" s="215">
        <v>0</v>
      </c>
      <c r="D58" s="329"/>
      <c r="E58" s="22"/>
      <c r="F58" s="34"/>
      <c r="G58" s="61"/>
      <c r="H58" s="20">
        <f t="shared" si="16"/>
        <v>0</v>
      </c>
      <c r="I58" s="21">
        <f>MARZO!I52+MARZO!J52</f>
        <v>0</v>
      </c>
      <c r="J58" s="21">
        <v>0</v>
      </c>
      <c r="K58" s="15">
        <v>0</v>
      </c>
      <c r="L58" s="16">
        <f t="shared" si="17"/>
        <v>0</v>
      </c>
      <c r="M58" s="24">
        <f t="shared" si="3"/>
        <v>0</v>
      </c>
      <c r="N58" s="17">
        <v>0</v>
      </c>
      <c r="P58" s="35"/>
    </row>
    <row r="59" spans="1:16" ht="15" x14ac:dyDescent="0.25">
      <c r="A59" s="18" t="s">
        <v>98</v>
      </c>
      <c r="B59" s="31" t="s">
        <v>99</v>
      </c>
      <c r="C59" s="215">
        <v>2664792</v>
      </c>
      <c r="D59" s="329"/>
      <c r="E59" s="22"/>
      <c r="F59" s="34"/>
      <c r="G59" s="61"/>
      <c r="H59" s="20">
        <f t="shared" si="16"/>
        <v>2664792</v>
      </c>
      <c r="I59" s="21">
        <f>MARZO!I53+MARZO!J53</f>
        <v>853200</v>
      </c>
      <c r="J59" s="41">
        <f>'LIBRO DE PRESUPUESTO'!J477</f>
        <v>284300</v>
      </c>
      <c r="K59" s="15">
        <f t="shared" si="14"/>
        <v>0.42686258439683095</v>
      </c>
      <c r="L59" s="23">
        <f t="shared" si="17"/>
        <v>1137500</v>
      </c>
      <c r="M59" s="24">
        <f t="shared" si="3"/>
        <v>1527292</v>
      </c>
      <c r="N59" s="17">
        <f t="shared" ref="N59:N65" si="18">M59/H59</f>
        <v>0.573137415603169</v>
      </c>
      <c r="P59" s="35"/>
    </row>
    <row r="60" spans="1:16" ht="15" x14ac:dyDescent="0.25">
      <c r="A60" s="18" t="s">
        <v>100</v>
      </c>
      <c r="B60" s="31" t="s">
        <v>92</v>
      </c>
      <c r="C60" s="215">
        <v>40228819</v>
      </c>
      <c r="D60" s="329"/>
      <c r="E60" s="22"/>
      <c r="F60" s="34"/>
      <c r="G60" s="61"/>
      <c r="H60" s="20">
        <f t="shared" si="16"/>
        <v>40228819</v>
      </c>
      <c r="I60" s="21">
        <f>MARZO!I54+MARZO!J54</f>
        <v>11116235</v>
      </c>
      <c r="J60" s="37">
        <f>'LIBRO DE PRESUPUESTO'!J489</f>
        <v>3882956</v>
      </c>
      <c r="K60" s="15">
        <f t="shared" si="14"/>
        <v>0.37284691355219751</v>
      </c>
      <c r="L60" s="23">
        <f t="shared" si="17"/>
        <v>14999191</v>
      </c>
      <c r="M60" s="24">
        <f t="shared" si="3"/>
        <v>25229628</v>
      </c>
      <c r="N60" s="17">
        <f t="shared" si="18"/>
        <v>0.62715308644780254</v>
      </c>
      <c r="P60" s="35"/>
    </row>
    <row r="61" spans="1:16" ht="15" x14ac:dyDescent="0.25">
      <c r="A61" s="18" t="s">
        <v>101</v>
      </c>
      <c r="B61" s="31" t="s">
        <v>102</v>
      </c>
      <c r="C61" s="215">
        <v>20419860</v>
      </c>
      <c r="D61" s="329"/>
      <c r="E61" s="22"/>
      <c r="F61" s="34"/>
      <c r="G61" s="61"/>
      <c r="H61" s="20">
        <f t="shared" si="16"/>
        <v>20419860</v>
      </c>
      <c r="I61" s="21">
        <f>MARZO!I55+MARZO!J55</f>
        <v>5358900</v>
      </c>
      <c r="J61" s="41">
        <f>'LIBRO DE PRESUPUESTO'!J501</f>
        <v>1318600</v>
      </c>
      <c r="K61" s="15">
        <f t="shared" si="14"/>
        <v>0.32701007744421362</v>
      </c>
      <c r="L61" s="23">
        <f t="shared" si="17"/>
        <v>6677500</v>
      </c>
      <c r="M61" s="24">
        <f t="shared" si="3"/>
        <v>13742360</v>
      </c>
      <c r="N61" s="17">
        <f t="shared" si="18"/>
        <v>0.67298992255578638</v>
      </c>
      <c r="P61" s="35"/>
    </row>
    <row r="62" spans="1:16" ht="15" x14ac:dyDescent="0.25">
      <c r="A62" s="18" t="s">
        <v>103</v>
      </c>
      <c r="B62" s="31" t="s">
        <v>104</v>
      </c>
      <c r="C62" s="215">
        <v>15314892</v>
      </c>
      <c r="D62" s="329"/>
      <c r="E62" s="22"/>
      <c r="F62" s="34"/>
      <c r="G62" s="61"/>
      <c r="H62" s="20">
        <f t="shared" si="16"/>
        <v>15314892</v>
      </c>
      <c r="I62" s="21">
        <f>MARZO!I56+MARZO!J56</f>
        <v>4019600</v>
      </c>
      <c r="J62" s="41">
        <f>'LIBRO DE PRESUPUESTO'!J514</f>
        <v>989100</v>
      </c>
      <c r="K62" s="15">
        <f t="shared" si="14"/>
        <v>0.32704768665688272</v>
      </c>
      <c r="L62" s="23">
        <f t="shared" si="17"/>
        <v>5008700</v>
      </c>
      <c r="M62" s="24">
        <f t="shared" si="3"/>
        <v>10306192</v>
      </c>
      <c r="N62" s="17">
        <f t="shared" si="18"/>
        <v>0.67295231334311723</v>
      </c>
      <c r="P62" s="35"/>
    </row>
    <row r="63" spans="1:16" ht="15" x14ac:dyDescent="0.25">
      <c r="A63" s="18" t="s">
        <v>105</v>
      </c>
      <c r="B63" s="31" t="s">
        <v>106</v>
      </c>
      <c r="C63" s="215">
        <v>2552484</v>
      </c>
      <c r="D63" s="329"/>
      <c r="E63" s="22"/>
      <c r="F63" s="34"/>
      <c r="G63" s="61"/>
      <c r="H63" s="20">
        <f t="shared" si="16"/>
        <v>2552484</v>
      </c>
      <c r="I63" s="21">
        <f>MARZO!I57+MARZO!J57</f>
        <v>671300</v>
      </c>
      <c r="J63" s="41">
        <f>'LIBRO DE PRESUPUESTO'!J530</f>
        <v>165300</v>
      </c>
      <c r="K63" s="15">
        <f t="shared" si="14"/>
        <v>0.32775915539529338</v>
      </c>
      <c r="L63" s="23">
        <f t="shared" si="17"/>
        <v>836600</v>
      </c>
      <c r="M63" s="24">
        <f t="shared" si="3"/>
        <v>1715884</v>
      </c>
      <c r="N63" s="17">
        <f t="shared" si="18"/>
        <v>0.67224084460470668</v>
      </c>
      <c r="P63" s="35"/>
    </row>
    <row r="64" spans="1:16" ht="15" x14ac:dyDescent="0.25">
      <c r="A64" s="18" t="s">
        <v>107</v>
      </c>
      <c r="B64" s="31" t="s">
        <v>108</v>
      </c>
      <c r="C64" s="215">
        <v>2552484</v>
      </c>
      <c r="D64" s="329"/>
      <c r="E64" s="22"/>
      <c r="F64" s="34"/>
      <c r="G64" s="61"/>
      <c r="H64" s="20">
        <f t="shared" si="16"/>
        <v>2552484</v>
      </c>
      <c r="I64" s="21">
        <f>MARZO!I58+MARZO!J58</f>
        <v>671300</v>
      </c>
      <c r="J64" s="41">
        <f>'LIBRO DE PRESUPUESTO'!J544</f>
        <v>165300</v>
      </c>
      <c r="K64" s="15">
        <f t="shared" si="14"/>
        <v>0.32775915539529338</v>
      </c>
      <c r="L64" s="23">
        <f t="shared" si="17"/>
        <v>836600</v>
      </c>
      <c r="M64" s="24">
        <f t="shared" si="3"/>
        <v>1715884</v>
      </c>
      <c r="N64" s="17">
        <f t="shared" si="18"/>
        <v>0.67224084460470668</v>
      </c>
      <c r="P64" s="35"/>
    </row>
    <row r="65" spans="1:16" ht="15" x14ac:dyDescent="0.25">
      <c r="A65" s="18" t="s">
        <v>109</v>
      </c>
      <c r="B65" s="31" t="s">
        <v>110</v>
      </c>
      <c r="C65" s="215">
        <v>5104968</v>
      </c>
      <c r="D65" s="329"/>
      <c r="E65" s="22"/>
      <c r="F65" s="34"/>
      <c r="G65" s="61"/>
      <c r="H65" s="20">
        <f t="shared" si="16"/>
        <v>5104968</v>
      </c>
      <c r="I65" s="21">
        <f>MARZO!I59+MARZO!J59</f>
        <v>1341000</v>
      </c>
      <c r="J65" s="41">
        <f>'LIBRO DE PRESUPUESTO'!J563</f>
        <v>330100</v>
      </c>
      <c r="K65" s="15">
        <f t="shared" si="14"/>
        <v>0.32734779140633202</v>
      </c>
      <c r="L65" s="23">
        <f t="shared" si="17"/>
        <v>1671100</v>
      </c>
      <c r="M65" s="24">
        <f t="shared" si="3"/>
        <v>3433868</v>
      </c>
      <c r="N65" s="17">
        <f t="shared" si="18"/>
        <v>0.67265220859366792</v>
      </c>
      <c r="P65" s="35"/>
    </row>
    <row r="66" spans="1:16" ht="15" x14ac:dyDescent="0.25">
      <c r="A66" s="18" t="s">
        <v>111</v>
      </c>
      <c r="B66" s="31" t="s">
        <v>112</v>
      </c>
      <c r="C66" s="193">
        <v>0</v>
      </c>
      <c r="D66" s="21"/>
      <c r="E66" s="22"/>
      <c r="F66" s="34"/>
      <c r="G66" s="61"/>
      <c r="H66" s="20">
        <f t="shared" si="16"/>
        <v>0</v>
      </c>
      <c r="I66" s="21">
        <f>MARZO!I60+MARZO!J60</f>
        <v>0</v>
      </c>
      <c r="J66" s="21">
        <v>0</v>
      </c>
      <c r="K66" s="15">
        <v>0</v>
      </c>
      <c r="L66" s="16">
        <f t="shared" si="17"/>
        <v>0</v>
      </c>
      <c r="M66" s="24">
        <f t="shared" si="3"/>
        <v>0</v>
      </c>
      <c r="N66" s="17">
        <v>0</v>
      </c>
      <c r="P66" s="35"/>
    </row>
    <row r="67" spans="1:16" ht="27" customHeight="1" x14ac:dyDescent="0.2">
      <c r="A67" s="94">
        <v>20201301</v>
      </c>
      <c r="B67" s="64" t="s">
        <v>116</v>
      </c>
      <c r="C67" s="70">
        <f>C68</f>
        <v>0</v>
      </c>
      <c r="D67" s="71">
        <f>D68</f>
        <v>0</v>
      </c>
      <c r="E67" s="71">
        <f>E68+E69</f>
        <v>45000000</v>
      </c>
      <c r="F67" s="65">
        <f>F68</f>
        <v>0</v>
      </c>
      <c r="G67" s="71">
        <f>G68</f>
        <v>0</v>
      </c>
      <c r="H67" s="65">
        <f>SUM(H68:H69)</f>
        <v>45000000</v>
      </c>
      <c r="I67" s="65">
        <f>I68</f>
        <v>0</v>
      </c>
      <c r="J67" s="65">
        <f>J68</f>
        <v>0</v>
      </c>
      <c r="K67" s="66">
        <f>K68</f>
        <v>0</v>
      </c>
      <c r="L67" s="67">
        <f t="shared" si="17"/>
        <v>0</v>
      </c>
      <c r="M67" s="72">
        <f>SUM(M68:M69)</f>
        <v>45000000</v>
      </c>
      <c r="N67" s="68">
        <v>0</v>
      </c>
      <c r="P67" s="35"/>
    </row>
    <row r="68" spans="1:16" ht="15" x14ac:dyDescent="0.25">
      <c r="A68" s="95">
        <v>2020130101</v>
      </c>
      <c r="B68" s="87" t="s">
        <v>117</v>
      </c>
      <c r="C68" s="88">
        <v>0</v>
      </c>
      <c r="D68" s="89">
        <v>0</v>
      </c>
      <c r="E68" s="90">
        <v>0</v>
      </c>
      <c r="F68" s="91"/>
      <c r="G68" s="92"/>
      <c r="H68" s="20">
        <f t="shared" si="16"/>
        <v>0</v>
      </c>
      <c r="I68" s="89">
        <v>0</v>
      </c>
      <c r="J68" s="89">
        <v>0</v>
      </c>
      <c r="K68" s="15">
        <v>0</v>
      </c>
      <c r="L68" s="23">
        <f t="shared" si="17"/>
        <v>0</v>
      </c>
      <c r="M68" s="24">
        <f t="shared" si="3"/>
        <v>0</v>
      </c>
      <c r="N68" s="17">
        <v>0</v>
      </c>
      <c r="P68" s="35"/>
    </row>
    <row r="69" spans="1:16" ht="15" x14ac:dyDescent="0.25">
      <c r="A69" s="95">
        <v>45</v>
      </c>
      <c r="B69" s="87" t="s">
        <v>117</v>
      </c>
      <c r="C69" s="88">
        <v>0</v>
      </c>
      <c r="D69" s="89">
        <v>0</v>
      </c>
      <c r="E69" s="90">
        <v>45000000</v>
      </c>
      <c r="F69" s="91">
        <v>0</v>
      </c>
      <c r="G69" s="92">
        <v>0</v>
      </c>
      <c r="H69" s="20">
        <f t="shared" si="16"/>
        <v>45000000</v>
      </c>
      <c r="I69" s="89">
        <v>0</v>
      </c>
      <c r="J69" s="89">
        <v>0</v>
      </c>
      <c r="K69" s="15">
        <v>0</v>
      </c>
      <c r="L69" s="23">
        <f t="shared" si="17"/>
        <v>0</v>
      </c>
      <c r="M69" s="24">
        <f t="shared" si="3"/>
        <v>45000000</v>
      </c>
      <c r="N69" s="17">
        <v>0</v>
      </c>
      <c r="P69" s="35"/>
    </row>
    <row r="70" spans="1:16" s="77" customFormat="1" ht="31.5" customHeight="1" thickBot="1" x14ac:dyDescent="0.25">
      <c r="A70" s="78"/>
      <c r="B70" s="82" t="s">
        <v>113</v>
      </c>
      <c r="C70" s="86">
        <f>C56+C51+C49+C31+C20+C25+C8</f>
        <v>973593066.23348069</v>
      </c>
      <c r="D70" s="83">
        <f>D9+D56</f>
        <v>0</v>
      </c>
      <c r="E70" s="83">
        <f t="shared" ref="E70:J70" si="19">E8+E20+E25+E31+E49+E51+E56+E67</f>
        <v>241428242</v>
      </c>
      <c r="F70" s="83">
        <f t="shared" si="19"/>
        <v>29281983</v>
      </c>
      <c r="G70" s="83">
        <f t="shared" si="19"/>
        <v>29281983</v>
      </c>
      <c r="H70" s="83">
        <f t="shared" si="19"/>
        <v>1215021308.2334807</v>
      </c>
      <c r="I70" s="83">
        <f t="shared" si="19"/>
        <v>271431131</v>
      </c>
      <c r="J70" s="83">
        <f t="shared" si="19"/>
        <v>61917941</v>
      </c>
      <c r="K70" s="84">
        <f>L70/H70</f>
        <v>0.27435656456482738</v>
      </c>
      <c r="L70" s="83">
        <f>L8+L20+L25+L31+L49+L51+L56+L67</f>
        <v>333349072</v>
      </c>
      <c r="M70" s="83">
        <f>M8+M20+M25+M31+M51+M49+M56+M67</f>
        <v>881672236.23348057</v>
      </c>
      <c r="N70" s="85">
        <f>M70/H70</f>
        <v>0.72564343543517251</v>
      </c>
    </row>
    <row r="71" spans="1:16" ht="35.25" customHeight="1" thickBot="1" x14ac:dyDescent="0.3">
      <c r="A71" s="81" t="s">
        <v>114</v>
      </c>
      <c r="B71" s="373" t="s">
        <v>115</v>
      </c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5"/>
      <c r="P71" s="38"/>
    </row>
    <row r="73" spans="1:16" x14ac:dyDescent="0.2">
      <c r="D73" s="38"/>
      <c r="E73" s="38"/>
      <c r="F73" s="38"/>
      <c r="G73" s="38"/>
      <c r="M73" s="38"/>
    </row>
    <row r="74" spans="1:16" x14ac:dyDescent="0.2">
      <c r="G74" s="38"/>
      <c r="I74" s="38"/>
      <c r="J74" s="40"/>
      <c r="M74" s="38"/>
    </row>
    <row r="75" spans="1:16" x14ac:dyDescent="0.2">
      <c r="D75" s="38"/>
      <c r="J75" s="38"/>
      <c r="K75" s="38"/>
      <c r="M75" s="38"/>
    </row>
    <row r="76" spans="1:16" x14ac:dyDescent="0.2">
      <c r="H76" s="38"/>
      <c r="J76" s="38"/>
      <c r="M76" s="38"/>
    </row>
    <row r="77" spans="1:16" x14ac:dyDescent="0.2">
      <c r="J77" s="38"/>
    </row>
  </sheetData>
  <mergeCells count="5">
    <mergeCell ref="A1:N1"/>
    <mergeCell ref="A2:N2"/>
    <mergeCell ref="A3:N3"/>
    <mergeCell ref="K5:K6"/>
    <mergeCell ref="B71:N71"/>
  </mergeCells>
  <printOptions horizontalCentered="1" verticalCentered="1"/>
  <pageMargins left="0.23622047244094491" right="0.23622047244094491" top="0.39370078740157483" bottom="0.98425196850393704" header="0" footer="0"/>
  <pageSetup paperSize="14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ht="18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8" x14ac:dyDescent="0.25">
      <c r="A3" s="370" t="s">
        <v>219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71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72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PRESUPUESTO'!J25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PRESUPUESTO'!J40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FEBRERO!I23+FEBRERO!J23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FEBRERO!I24+FEBRERO!J24</f>
        <v>15994800</v>
      </c>
      <c r="J24" s="21">
        <v>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FEBRERO!I25+FEBRERO!J25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FEBRERO!I26+FEBRERO!J26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631976</v>
      </c>
      <c r="G27" s="65">
        <f t="shared" si="10"/>
        <v>0</v>
      </c>
      <c r="H27" s="65">
        <f t="shared" si="10"/>
        <v>133080304</v>
      </c>
      <c r="I27" s="65">
        <f t="shared" si="10"/>
        <v>17531658</v>
      </c>
      <c r="J27" s="65">
        <f t="shared" si="10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1">C28-D28+E28+F28-G28</f>
        <v>16180000</v>
      </c>
      <c r="I28" s="21">
        <f>FEBRERO!I28+FEBRERO!J28</f>
        <v>1200000</v>
      </c>
      <c r="J28" s="21">
        <f>'LIBRO DE PRESUPUESTO'!J168</f>
        <v>14930000</v>
      </c>
      <c r="K28" s="20">
        <f t="shared" si="9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2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FEBRERO!I29+FEBRERO!J29</f>
        <v>13417168</v>
      </c>
      <c r="J29" s="21">
        <f>SUM('LIBRO DE PRESUPUESTO'!J200:J207)</f>
        <v>10755500</v>
      </c>
      <c r="K29" s="20">
        <f t="shared" si="9"/>
        <v>24172668</v>
      </c>
      <c r="L29" s="15">
        <f t="shared" si="1"/>
        <v>0.61510678011542885</v>
      </c>
      <c r="M29" s="23">
        <f>J29+I29</f>
        <v>24172668</v>
      </c>
      <c r="N29" s="24">
        <f t="shared" si="12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FEBRERO!I30+FEBRERO!J30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FEBRERO!I31+FEBRERO!J31</f>
        <v>1413600</v>
      </c>
      <c r="J31" s="41">
        <f>'LIBRO DE PRESUPUESTO'!J279</f>
        <v>920100</v>
      </c>
      <c r="K31" s="20">
        <f t="shared" si="9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2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FEBRERO!I32+FEBRERO!J32</f>
        <v>1065550</v>
      </c>
      <c r="J32" s="41">
        <f>SUM('LIBRO DE PRESUPUESTO'!J298:J299)</f>
        <v>346900</v>
      </c>
      <c r="K32" s="20">
        <f t="shared" si="9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2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FEBRERO!I33+FEBRERO!J33</f>
        <v>235340</v>
      </c>
      <c r="J33" s="25">
        <f>'LIBRO DE PRESUPUESTO'!J322+'LIBRO DE PRESUPUESTO'!J323</f>
        <v>132290</v>
      </c>
      <c r="K33" s="20">
        <f t="shared" si="9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2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FEBRERO!I34+FEBRERO!J34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FEBRERO!I35+FEBRERO!J35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PRESUPUESTO'!G356</f>
        <v>631976</v>
      </c>
      <c r="G36" s="61"/>
      <c r="H36" s="20">
        <f t="shared" si="11"/>
        <v>8631976</v>
      </c>
      <c r="I36" s="21">
        <f>FEBRERO!I36+FEBRERO!J36</f>
        <v>0</v>
      </c>
      <c r="J36" s="43">
        <f>'LIBRO DE PRESUPUESTO'!J355+'LIBRO DE PRESUPUESTO'!J357</f>
        <v>7786252</v>
      </c>
      <c r="K36" s="20">
        <f t="shared" si="9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2"/>
        <v>845724</v>
      </c>
      <c r="O36" s="17">
        <f t="shared" si="13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FEBRERO!I37+FEBRERO!J37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FEBRERO!I38+FEBRERO!J38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FEBRERO!I39+FEBRERO!J39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FEBRERO!I40+FEBRERO!J40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FEBRERO!I41+FEBRERO!J41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FEBRERO!I42+FEBRERO!J42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4">C44</f>
        <v>0</v>
      </c>
      <c r="D43" s="312">
        <f t="shared" si="14"/>
        <v>0</v>
      </c>
      <c r="E43" s="312">
        <f t="shared" si="14"/>
        <v>0</v>
      </c>
      <c r="F43" s="312">
        <f t="shared" si="14"/>
        <v>1000000</v>
      </c>
      <c r="G43" s="312">
        <f t="shared" si="14"/>
        <v>0</v>
      </c>
      <c r="H43" s="312">
        <f t="shared" si="14"/>
        <v>1000000</v>
      </c>
      <c r="I43" s="313">
        <f t="shared" si="14"/>
        <v>0</v>
      </c>
      <c r="J43" s="327">
        <f t="shared" si="14"/>
        <v>0</v>
      </c>
      <c r="K43" s="63">
        <f t="shared" si="9"/>
        <v>0</v>
      </c>
      <c r="L43" s="314">
        <v>0</v>
      </c>
      <c r="M43" s="63">
        <f t="shared" si="6"/>
        <v>0</v>
      </c>
      <c r="N43" s="315">
        <f>H43-K43</f>
        <v>1000000</v>
      </c>
      <c r="O43" s="328">
        <f t="shared" si="13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16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9437830</v>
      </c>
      <c r="J45" s="70">
        <f t="shared" si="15"/>
        <v>5314687</v>
      </c>
      <c r="K45" s="65">
        <f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>SUM(N46:N49)</f>
        <v>69024785.320260897</v>
      </c>
      <c r="O45" s="68">
        <f t="shared" si="13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PRESUPUESTO'!J427</f>
        <v>3987788</v>
      </c>
      <c r="K47" s="20">
        <f t="shared" si="9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3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PRESUPUESTO'!J441</f>
        <v>1326899</v>
      </c>
      <c r="K48" s="20">
        <f t="shared" si="9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3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15969879</v>
      </c>
      <c r="J50" s="65">
        <f t="shared" si="16"/>
        <v>8950797</v>
      </c>
      <c r="K50" s="65">
        <f t="shared" si="9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3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7">C51-D51+E51+F51-G51</f>
        <v>38584317</v>
      </c>
      <c r="I51" s="21">
        <f>FEBRERO!I51+FEBRERO!J51</f>
        <v>889141</v>
      </c>
      <c r="J51" s="25"/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7"/>
        <v>0</v>
      </c>
      <c r="I52" s="21">
        <f>FEBRERO!I52+FEBRERO!J52</f>
        <v>0</v>
      </c>
      <c r="J52" s="21">
        <v>0</v>
      </c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7"/>
        <v>2664792</v>
      </c>
      <c r="I53" s="21">
        <f>FEBRERO!I53+FEBRERO!J53</f>
        <v>534400</v>
      </c>
      <c r="J53" s="41">
        <f>'LIBRO DE PRESUPUESTO'!J476</f>
        <v>318800</v>
      </c>
      <c r="K53" s="20">
        <f t="shared" si="9"/>
        <v>853200</v>
      </c>
      <c r="L53" s="15">
        <f t="shared" si="1"/>
        <v>0.32017508308340764</v>
      </c>
      <c r="M53" s="23">
        <f t="shared" si="6"/>
        <v>853200</v>
      </c>
      <c r="N53" s="24">
        <f t="shared" si="18"/>
        <v>1811592</v>
      </c>
      <c r="O53" s="17">
        <f t="shared" si="13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7"/>
        <v>40228819</v>
      </c>
      <c r="I54" s="21">
        <f>FEBRERO!I54+FEBRERO!J54</f>
        <v>6708438</v>
      </c>
      <c r="J54" s="37">
        <f>'LIBRO DE PRESUPUESTO'!J488</f>
        <v>4407797</v>
      </c>
      <c r="K54" s="20">
        <f t="shared" si="9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18"/>
        <v>29112584</v>
      </c>
      <c r="O54" s="17">
        <f t="shared" si="13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7"/>
        <v>20419860</v>
      </c>
      <c r="I55" s="21">
        <f>FEBRERO!I55+FEBRERO!J55</f>
        <v>3482100</v>
      </c>
      <c r="J55" s="41">
        <f>'LIBRO DE PRESUPUESTO'!J500</f>
        <v>1876800</v>
      </c>
      <c r="K55" s="20">
        <f t="shared" si="9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18"/>
        <v>15060960</v>
      </c>
      <c r="O55" s="17">
        <f t="shared" si="13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7"/>
        <v>15314892</v>
      </c>
      <c r="I56" s="21">
        <f>FEBRERO!I56+FEBRERO!J56</f>
        <v>2612000</v>
      </c>
      <c r="J56" s="41">
        <f>'LIBRO DE PRESUPUESTO'!J513</f>
        <v>1407600</v>
      </c>
      <c r="K56" s="20">
        <f t="shared" si="9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18"/>
        <v>11295292</v>
      </c>
      <c r="O56" s="17">
        <f t="shared" si="13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7"/>
        <v>2552484</v>
      </c>
      <c r="I57" s="21">
        <f>FEBRERO!I57+FEBRERO!J57</f>
        <v>436200</v>
      </c>
      <c r="J57" s="41">
        <f>'LIBRO DE PRESUPUESTO'!J529</f>
        <v>235100</v>
      </c>
      <c r="K57" s="20">
        <f t="shared" si="9"/>
        <v>671300</v>
      </c>
      <c r="L57" s="15">
        <f t="shared" si="1"/>
        <v>0.26299871027595079</v>
      </c>
      <c r="M57" s="23">
        <f t="shared" si="6"/>
        <v>671300</v>
      </c>
      <c r="N57" s="24">
        <f t="shared" si="18"/>
        <v>1881184</v>
      </c>
      <c r="O57" s="17">
        <f t="shared" si="13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7"/>
        <v>2552484</v>
      </c>
      <c r="I58" s="21">
        <f>FEBRERO!I58+FEBRERO!J58</f>
        <v>436200</v>
      </c>
      <c r="J58" s="41">
        <f>'LIBRO DE PRESUPUESTO'!J543</f>
        <v>235100</v>
      </c>
      <c r="K58" s="20">
        <f t="shared" si="9"/>
        <v>671300</v>
      </c>
      <c r="L58" s="15">
        <f t="shared" si="1"/>
        <v>0.26299871027595079</v>
      </c>
      <c r="M58" s="23">
        <f t="shared" si="6"/>
        <v>671300</v>
      </c>
      <c r="N58" s="24">
        <f t="shared" si="18"/>
        <v>1881184</v>
      </c>
      <c r="O58" s="17">
        <f t="shared" si="13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7"/>
        <v>5104968</v>
      </c>
      <c r="I59" s="21">
        <f>FEBRERO!I59+FEBRERO!J59</f>
        <v>871400</v>
      </c>
      <c r="J59" s="41">
        <f>'LIBRO DE PRESUPUESTO'!J562</f>
        <v>469600</v>
      </c>
      <c r="K59" s="20">
        <f t="shared" si="9"/>
        <v>1341000</v>
      </c>
      <c r="L59" s="15">
        <f t="shared" si="1"/>
        <v>0.26268529009388503</v>
      </c>
      <c r="M59" s="23">
        <f>J59+I59</f>
        <v>1341000</v>
      </c>
      <c r="N59" s="24">
        <f t="shared" si="18"/>
        <v>3763968</v>
      </c>
      <c r="O59" s="17">
        <f t="shared" si="13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FEBRERO!I60+FEBRERO!J60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29281983</v>
      </c>
      <c r="G64" s="83">
        <f t="shared" si="19"/>
        <v>29281983</v>
      </c>
      <c r="H64" s="83">
        <f t="shared" si="19"/>
        <v>1078203831.2334807</v>
      </c>
      <c r="I64" s="83">
        <f t="shared" si="19"/>
        <v>175172322</v>
      </c>
      <c r="J64" s="83">
        <f t="shared" si="19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3"/>
        <v>0.74825619874724525</v>
      </c>
    </row>
    <row r="65" spans="1:17" ht="35.25" customHeight="1" thickBot="1" x14ac:dyDescent="0.3">
      <c r="A65" s="81" t="s">
        <v>114</v>
      </c>
      <c r="B65" s="373" t="s">
        <v>115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5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ht="18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8" x14ac:dyDescent="0.25">
      <c r="A3" s="370" t="s">
        <v>207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71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72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PRESUPUESTO'!J23+'LIBRO DE PRESUPUESTO'!J24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PRESUPUESTO'!J38+'LIBRO DE PRESUPUESTO'!J39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PRESUPUESTO'!J51+'LIBRO DE PRESUPUESTO'!J52+'LIBRO DE PRESUPUESTO'!J53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ENERO!J23</f>
        <v>0</v>
      </c>
      <c r="J23" s="25">
        <v>0</v>
      </c>
      <c r="K23" s="20">
        <f t="shared" ref="K23:K60" si="9">SUM(I23:J23)</f>
        <v>0</v>
      </c>
      <c r="L23" s="15">
        <v>0</v>
      </c>
      <c r="M23" s="16">
        <f t="shared" si="6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f>ENERO!J24</f>
        <v>1599800</v>
      </c>
      <c r="J24" s="21">
        <f>'LIBRO DE PRESUPUESTO'!J144</f>
        <v>14395000</v>
      </c>
      <c r="K24" s="20">
        <f t="shared" si="9"/>
        <v>15994800</v>
      </c>
      <c r="L24" s="15">
        <f t="shared" si="1"/>
        <v>0.49983749999999999</v>
      </c>
      <c r="M24" s="23">
        <f t="shared" si="6"/>
        <v>15994800</v>
      </c>
      <c r="N24" s="24">
        <f>H24-K24</f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ENERO!J25</f>
        <v>0</v>
      </c>
      <c r="J25" s="21">
        <v>0</v>
      </c>
      <c r="K25" s="20">
        <f t="shared" si="9"/>
        <v>0</v>
      </c>
      <c r="L25" s="15">
        <f t="shared" si="1"/>
        <v>0</v>
      </c>
      <c r="M25" s="16">
        <f t="shared" si="6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ENERO!J26</f>
        <v>0</v>
      </c>
      <c r="J26" s="21"/>
      <c r="K26" s="20">
        <f t="shared" si="9"/>
        <v>0</v>
      </c>
      <c r="L26" s="15">
        <v>0</v>
      </c>
      <c r="M26" s="16">
        <f t="shared" si="6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0">SUM(C28:C42)</f>
        <v>75448328</v>
      </c>
      <c r="D27" s="65">
        <f t="shared" si="10"/>
        <v>0</v>
      </c>
      <c r="E27" s="65">
        <f t="shared" si="10"/>
        <v>57000000</v>
      </c>
      <c r="F27" s="65">
        <f t="shared" si="10"/>
        <v>0</v>
      </c>
      <c r="G27" s="65">
        <f t="shared" si="10"/>
        <v>0</v>
      </c>
      <c r="H27" s="65">
        <f t="shared" si="10"/>
        <v>132448328</v>
      </c>
      <c r="I27" s="65">
        <f t="shared" si="10"/>
        <v>3633632</v>
      </c>
      <c r="J27" s="65">
        <f t="shared" si="10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1">C28-D28+E28+F28-G28</f>
        <v>16180000</v>
      </c>
      <c r="I28" s="21">
        <f>ENERO!J28</f>
        <v>1200000</v>
      </c>
      <c r="J28" s="21">
        <v>0</v>
      </c>
      <c r="K28" s="20">
        <f t="shared" si="9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2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1"/>
        <v>39298328</v>
      </c>
      <c r="I29" s="21">
        <f>ENERO!J29</f>
        <v>874615</v>
      </c>
      <c r="J29" s="21">
        <f>SUM('LIBRO DE PRESUPUESTO'!J189:J199)</f>
        <v>12542553</v>
      </c>
      <c r="K29" s="20">
        <f t="shared" si="9"/>
        <v>13417168</v>
      </c>
      <c r="L29" s="15">
        <f t="shared" si="1"/>
        <v>0.34141829138379626</v>
      </c>
      <c r="M29" s="23">
        <f>J29+I29</f>
        <v>13417168</v>
      </c>
      <c r="N29" s="24">
        <f t="shared" si="12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1"/>
        <v>1200000</v>
      </c>
      <c r="I30" s="21">
        <f>ENERO!J30</f>
        <v>200000</v>
      </c>
      <c r="J30" s="41">
        <v>0</v>
      </c>
      <c r="K30" s="20">
        <f t="shared" si="9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2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1"/>
        <v>10800000</v>
      </c>
      <c r="I31" s="21">
        <f>ENERO!J31</f>
        <v>720300</v>
      </c>
      <c r="J31" s="41">
        <f>'LIBRO DE PRESUPUESTO'!J278</f>
        <v>693300</v>
      </c>
      <c r="K31" s="20">
        <f t="shared" si="9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2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1"/>
        <v>6600000</v>
      </c>
      <c r="I32" s="21">
        <f>ENERO!J32</f>
        <v>535667</v>
      </c>
      <c r="J32" s="41">
        <f>'LIBRO DE PRESUPUESTO'!J295+'LIBRO DE PRESUPUESTO'!J296+'LIBRO DE PRESUPUESTO'!J297</f>
        <v>529883</v>
      </c>
      <c r="K32" s="20">
        <f t="shared" si="9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2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1"/>
        <v>1920000</v>
      </c>
      <c r="I33" s="21">
        <f>ENERO!J33</f>
        <v>103050</v>
      </c>
      <c r="J33" s="25">
        <f>'LIBRO DE PRESUPUESTO'!J320+'LIBRO DE PRESUPUESTO'!J321</f>
        <v>132290</v>
      </c>
      <c r="K33" s="20">
        <f t="shared" si="9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2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1"/>
        <v>1500000</v>
      </c>
      <c r="I34" s="21">
        <f>ENERO!J34</f>
        <v>0</v>
      </c>
      <c r="J34" s="21">
        <v>0</v>
      </c>
      <c r="K34" s="20">
        <f t="shared" si="9"/>
        <v>0</v>
      </c>
      <c r="L34" s="15">
        <f t="shared" si="1"/>
        <v>0</v>
      </c>
      <c r="M34" s="23">
        <f t="shared" si="6"/>
        <v>0</v>
      </c>
      <c r="N34" s="24">
        <f t="shared" si="12"/>
        <v>1500000</v>
      </c>
      <c r="O34" s="17">
        <f t="shared" ref="O34:O64" si="13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1"/>
        <v>0</v>
      </c>
      <c r="I35" s="21">
        <f>ENERO!J35</f>
        <v>0</v>
      </c>
      <c r="J35" s="21">
        <v>0</v>
      </c>
      <c r="K35" s="20">
        <f t="shared" si="9"/>
        <v>0</v>
      </c>
      <c r="L35" s="15">
        <v>0</v>
      </c>
      <c r="M35" s="23">
        <f t="shared" si="6"/>
        <v>0</v>
      </c>
      <c r="N35" s="24">
        <f t="shared" si="12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1"/>
        <v>8000000</v>
      </c>
      <c r="I36" s="21">
        <f>ENERO!J36</f>
        <v>0</v>
      </c>
      <c r="J36" s="43">
        <v>0</v>
      </c>
      <c r="K36" s="20">
        <f t="shared" si="9"/>
        <v>0</v>
      </c>
      <c r="L36" s="15">
        <f t="shared" si="1"/>
        <v>0</v>
      </c>
      <c r="M36" s="23">
        <f t="shared" si="6"/>
        <v>0</v>
      </c>
      <c r="N36" s="24">
        <f t="shared" si="12"/>
        <v>8000000</v>
      </c>
      <c r="O36" s="17">
        <f t="shared" si="13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1"/>
        <v>25000000</v>
      </c>
      <c r="I37" s="21">
        <f>ENERO!J37</f>
        <v>0</v>
      </c>
      <c r="J37" s="43">
        <v>0</v>
      </c>
      <c r="K37" s="20">
        <f t="shared" si="9"/>
        <v>0</v>
      </c>
      <c r="L37" s="15">
        <f t="shared" si="1"/>
        <v>0</v>
      </c>
      <c r="M37" s="23">
        <f t="shared" si="6"/>
        <v>0</v>
      </c>
      <c r="N37" s="24">
        <f t="shared" si="12"/>
        <v>25000000</v>
      </c>
      <c r="O37" s="17">
        <f t="shared" si="13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1"/>
        <v>3000000</v>
      </c>
      <c r="I38" s="21">
        <f>ENERO!J38</f>
        <v>0</v>
      </c>
      <c r="J38" s="43">
        <v>0</v>
      </c>
      <c r="K38" s="20">
        <f t="shared" si="9"/>
        <v>0</v>
      </c>
      <c r="L38" s="15">
        <f t="shared" si="1"/>
        <v>0</v>
      </c>
      <c r="M38" s="23">
        <f t="shared" si="6"/>
        <v>0</v>
      </c>
      <c r="N38" s="24">
        <f t="shared" si="12"/>
        <v>3000000</v>
      </c>
      <c r="O38" s="17">
        <f t="shared" si="13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1"/>
        <v>15000000</v>
      </c>
      <c r="I39" s="21">
        <f>ENERO!J39</f>
        <v>0</v>
      </c>
      <c r="J39" s="21">
        <v>0</v>
      </c>
      <c r="K39" s="20">
        <f t="shared" si="9"/>
        <v>0</v>
      </c>
      <c r="L39" s="15">
        <f t="shared" si="1"/>
        <v>0</v>
      </c>
      <c r="M39" s="23">
        <f t="shared" si="6"/>
        <v>0</v>
      </c>
      <c r="N39" s="24">
        <f t="shared" si="12"/>
        <v>15000000</v>
      </c>
      <c r="O39" s="17">
        <f t="shared" si="13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1"/>
        <v>3000000</v>
      </c>
      <c r="I40" s="21">
        <f>ENERO!J40</f>
        <v>0</v>
      </c>
      <c r="J40" s="21">
        <v>0</v>
      </c>
      <c r="K40" s="20">
        <f t="shared" si="9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3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1"/>
        <v>0</v>
      </c>
      <c r="I41" s="21">
        <f>ENERO!J41</f>
        <v>0</v>
      </c>
      <c r="J41" s="21">
        <v>0</v>
      </c>
      <c r="K41" s="20">
        <f t="shared" si="9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1"/>
        <v>950000</v>
      </c>
      <c r="I42" s="21">
        <f>ENERO!J42</f>
        <v>0</v>
      </c>
      <c r="J42" s="21">
        <v>0</v>
      </c>
      <c r="K42" s="20">
        <f t="shared" si="9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3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4">C44</f>
        <v>0</v>
      </c>
      <c r="D43" s="312">
        <f t="shared" si="14"/>
        <v>0</v>
      </c>
      <c r="E43" s="312">
        <f t="shared" si="14"/>
        <v>0</v>
      </c>
      <c r="F43" s="312">
        <f t="shared" si="14"/>
        <v>1000000</v>
      </c>
      <c r="G43" s="312">
        <f t="shared" si="14"/>
        <v>0</v>
      </c>
      <c r="H43" s="312">
        <f t="shared" si="14"/>
        <v>1000000</v>
      </c>
      <c r="I43" s="313">
        <f t="shared" si="14"/>
        <v>0</v>
      </c>
      <c r="J43" s="327">
        <f t="shared" si="14"/>
        <v>0</v>
      </c>
      <c r="K43" s="63">
        <f t="shared" si="9"/>
        <v>0</v>
      </c>
      <c r="L43" s="314">
        <v>0</v>
      </c>
      <c r="M43" s="63">
        <f t="shared" si="6"/>
        <v>0</v>
      </c>
      <c r="N43" s="315">
        <f>H43-K43</f>
        <v>1000000</v>
      </c>
      <c r="O43" s="328">
        <f t="shared" si="13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16">
        <f>H44-K44</f>
        <v>1000000</v>
      </c>
      <c r="O44" s="17">
        <f t="shared" si="13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5">SUM(D46:D49)</f>
        <v>0</v>
      </c>
      <c r="E45" s="70">
        <f t="shared" si="15"/>
        <v>0</v>
      </c>
      <c r="F45" s="70">
        <f t="shared" si="15"/>
        <v>0</v>
      </c>
      <c r="G45" s="70">
        <f t="shared" si="15"/>
        <v>0</v>
      </c>
      <c r="H45" s="70">
        <f t="shared" si="15"/>
        <v>83777302.320260897</v>
      </c>
      <c r="I45" s="70">
        <f t="shared" si="15"/>
        <v>4986871</v>
      </c>
      <c r="J45" s="70">
        <f t="shared" si="15"/>
        <v>4450959</v>
      </c>
      <c r="K45" s="65">
        <f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>SUM(N46:N49)</f>
        <v>74339472.320260897</v>
      </c>
      <c r="O45" s="68">
        <f t="shared" si="13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9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3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PRESUPUESTO'!J426</f>
        <v>3348793</v>
      </c>
      <c r="K47" s="20">
        <f t="shared" si="9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3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PRESUPUESTO'!J440</f>
        <v>1102166</v>
      </c>
      <c r="K48" s="20">
        <f t="shared" si="9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3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9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3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6">SUM(C51:C60)</f>
        <v>127422616</v>
      </c>
      <c r="D50" s="70">
        <f t="shared" si="16"/>
        <v>0</v>
      </c>
      <c r="E50" s="70">
        <f t="shared" si="16"/>
        <v>0</v>
      </c>
      <c r="F50" s="70">
        <f t="shared" si="16"/>
        <v>0</v>
      </c>
      <c r="G50" s="70">
        <f t="shared" si="16"/>
        <v>0</v>
      </c>
      <c r="H50" s="70">
        <f t="shared" si="16"/>
        <v>127422616</v>
      </c>
      <c r="I50" s="65">
        <f t="shared" si="16"/>
        <v>7396904</v>
      </c>
      <c r="J50" s="65">
        <f t="shared" si="16"/>
        <v>8572975</v>
      </c>
      <c r="K50" s="65">
        <f t="shared" si="9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3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7">C51-D51+E51+F51-G51</f>
        <v>38584317</v>
      </c>
      <c r="I51" s="21">
        <f>ENERO!J51</f>
        <v>0</v>
      </c>
      <c r="J51" s="25">
        <f>'LIBRO DE PRESUPUESTO'!J459</f>
        <v>889141</v>
      </c>
      <c r="K51" s="20">
        <f t="shared" si="9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18">H51-K51</f>
        <v>37695176</v>
      </c>
      <c r="O51" s="17">
        <f t="shared" si="13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7"/>
        <v>0</v>
      </c>
      <c r="I52" s="21">
        <f>ENERO!J52</f>
        <v>0</v>
      </c>
      <c r="J52" s="21"/>
      <c r="K52" s="20">
        <f t="shared" si="9"/>
        <v>0</v>
      </c>
      <c r="L52" s="15">
        <v>0</v>
      </c>
      <c r="M52" s="16">
        <f t="shared" si="6"/>
        <v>0</v>
      </c>
      <c r="N52" s="24">
        <f t="shared" si="18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7"/>
        <v>2664792</v>
      </c>
      <c r="I53" s="21">
        <f>ENERO!J53</f>
        <v>267200</v>
      </c>
      <c r="J53" s="41">
        <f>'LIBRO DE PRESUPUESTO'!J475</f>
        <v>267200</v>
      </c>
      <c r="K53" s="20">
        <f t="shared" si="9"/>
        <v>534400</v>
      </c>
      <c r="L53" s="15">
        <f t="shared" si="1"/>
        <v>0.20054098030915735</v>
      </c>
      <c r="M53" s="23">
        <f t="shared" si="6"/>
        <v>534400</v>
      </c>
      <c r="N53" s="24">
        <f t="shared" si="18"/>
        <v>2130392</v>
      </c>
      <c r="O53" s="17">
        <f t="shared" si="13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7"/>
        <v>40228819</v>
      </c>
      <c r="I54" s="21">
        <f>ENERO!J54</f>
        <v>3083004</v>
      </c>
      <c r="J54" s="37">
        <f>'LIBRO DE PRESUPUESTO'!J487</f>
        <v>3625434</v>
      </c>
      <c r="K54" s="20">
        <f t="shared" si="9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18"/>
        <v>33520381</v>
      </c>
      <c r="O54" s="17">
        <f t="shared" si="13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7"/>
        <v>20419860</v>
      </c>
      <c r="I55" s="21">
        <f>ENERO!J55</f>
        <v>1797800</v>
      </c>
      <c r="J55" s="41">
        <f>'LIBRO DE PRESUPUESTO'!J499</f>
        <v>1684300</v>
      </c>
      <c r="K55" s="20">
        <f t="shared" si="9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18"/>
        <v>16937760</v>
      </c>
      <c r="O55" s="17">
        <f t="shared" si="13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7"/>
        <v>15314892</v>
      </c>
      <c r="I56" s="21">
        <f>ENERO!J56</f>
        <v>1348600</v>
      </c>
      <c r="J56" s="41">
        <f>'LIBRO DE PRESUPUESTO'!J512</f>
        <v>1263400</v>
      </c>
      <c r="K56" s="20">
        <f t="shared" si="9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18"/>
        <v>12702892</v>
      </c>
      <c r="O56" s="17">
        <f t="shared" si="13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7"/>
        <v>2552484</v>
      </c>
      <c r="I57" s="21">
        <f>ENERO!J57</f>
        <v>225200</v>
      </c>
      <c r="J57" s="41">
        <f>'LIBRO DE PRESUPUESTO'!J528</f>
        <v>211000</v>
      </c>
      <c r="K57" s="20">
        <f t="shared" si="9"/>
        <v>436200</v>
      </c>
      <c r="L57" s="15">
        <f t="shared" si="1"/>
        <v>0.17089235427136859</v>
      </c>
      <c r="M57" s="23">
        <f t="shared" si="6"/>
        <v>436200</v>
      </c>
      <c r="N57" s="24">
        <f t="shared" si="18"/>
        <v>2116284</v>
      </c>
      <c r="O57" s="17">
        <f t="shared" si="13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7"/>
        <v>2552484</v>
      </c>
      <c r="I58" s="21">
        <f>ENERO!J58</f>
        <v>225200</v>
      </c>
      <c r="J58" s="41">
        <f>'LIBRO DE PRESUPUESTO'!J542</f>
        <v>211000</v>
      </c>
      <c r="K58" s="20">
        <f t="shared" si="9"/>
        <v>436200</v>
      </c>
      <c r="L58" s="15">
        <f t="shared" si="1"/>
        <v>0.17089235427136859</v>
      </c>
      <c r="M58" s="23">
        <f t="shared" si="6"/>
        <v>436200</v>
      </c>
      <c r="N58" s="24">
        <f t="shared" si="18"/>
        <v>2116284</v>
      </c>
      <c r="O58" s="17">
        <f t="shared" si="13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7"/>
        <v>5104968</v>
      </c>
      <c r="I59" s="21">
        <f>ENERO!J59</f>
        <v>449900</v>
      </c>
      <c r="J59" s="41">
        <f>'LIBRO DE PRESUPUESTO'!J561</f>
        <v>421500</v>
      </c>
      <c r="K59" s="20">
        <f t="shared" si="9"/>
        <v>871400</v>
      </c>
      <c r="L59" s="15">
        <f t="shared" si="1"/>
        <v>0.17069646665757748</v>
      </c>
      <c r="M59" s="23">
        <f>J59+I59</f>
        <v>871400</v>
      </c>
      <c r="N59" s="24">
        <f t="shared" si="18"/>
        <v>4233568</v>
      </c>
      <c r="O59" s="17">
        <f t="shared" si="13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17"/>
        <v>0</v>
      </c>
      <c r="I60" s="21">
        <f>ENERO!J60</f>
        <v>0</v>
      </c>
      <c r="J60" s="21">
        <v>0</v>
      </c>
      <c r="K60" s="20">
        <f t="shared" si="9"/>
        <v>0</v>
      </c>
      <c r="L60" s="15">
        <v>0</v>
      </c>
      <c r="M60" s="16">
        <f t="shared" si="6"/>
        <v>0</v>
      </c>
      <c r="N60" s="24">
        <f t="shared" si="18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7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18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7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18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19">E8+E18+E22+E27+E43+E45+E50+E61</f>
        <v>104610765</v>
      </c>
      <c r="F64" s="83">
        <f t="shared" si="19"/>
        <v>28650007</v>
      </c>
      <c r="G64" s="83">
        <f t="shared" si="19"/>
        <v>28650007</v>
      </c>
      <c r="H64" s="83">
        <f t="shared" si="19"/>
        <v>1078203831.2334807</v>
      </c>
      <c r="I64" s="83">
        <f t="shared" si="19"/>
        <v>91630273</v>
      </c>
      <c r="J64" s="83">
        <f t="shared" si="19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3"/>
        <v>0.837533203903013</v>
      </c>
    </row>
    <row r="65" spans="1:17" ht="35.25" customHeight="1" thickBot="1" x14ac:dyDescent="0.3">
      <c r="A65" s="81" t="s">
        <v>114</v>
      </c>
      <c r="B65" s="373" t="s">
        <v>115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5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11" activePane="bottomRight" state="frozen"/>
      <selection activeCell="A33" sqref="A33"/>
      <selection pane="topRight" activeCell="A33" sqref="A33"/>
      <selection pane="bottomLeft" activeCell="A33" sqref="A33"/>
      <selection pane="bottomRight" activeCell="A33" sqref="A3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ht="18" x14ac:dyDescent="0.25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8" x14ac:dyDescent="0.25">
      <c r="A3" s="370" t="s">
        <v>171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71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72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29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29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29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PRESUPUESTO'!J22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29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PRESUPUESTO'!J37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29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29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29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PRESUPUESTO'!J72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29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29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PRESUPUESTO'!J112:J115)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>C23-D23+E23+F23-G23</f>
        <v>3000000</v>
      </c>
      <c r="I23" s="21">
        <f>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3"/>
        <v>0</v>
      </c>
      <c r="N23" s="24">
        <f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>C24-D24+E24+F24-G24</f>
        <v>32000000</v>
      </c>
      <c r="I24" s="21">
        <v>0</v>
      </c>
      <c r="J24" s="21">
        <f>'LIBRO DE PRESUPUESTO'!J141+'LIBRO DE PRESUPUESTO'!J143</f>
        <v>1599800</v>
      </c>
      <c r="K24" s="20">
        <f t="shared" si="10"/>
        <v>1599800</v>
      </c>
      <c r="L24" s="15">
        <f t="shared" si="1"/>
        <v>4.9993750000000003E-2</v>
      </c>
      <c r="M24" s="23">
        <f t="shared" si="3"/>
        <v>1599800</v>
      </c>
      <c r="N24" s="24">
        <f>H24-K24</f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>C25-D25+E25+F25-G25</f>
        <v>1200000</v>
      </c>
      <c r="I25" s="21">
        <f>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3"/>
        <v>0</v>
      </c>
      <c r="N25" s="24">
        <f>H25-K25</f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>C26-D26+E26+F26-G26</f>
        <v>0</v>
      </c>
      <c r="I26" s="21">
        <f>J26</f>
        <v>0</v>
      </c>
      <c r="J26" s="21"/>
      <c r="K26" s="20">
        <f t="shared" si="10"/>
        <v>0</v>
      </c>
      <c r="L26" s="15">
        <v>0</v>
      </c>
      <c r="M26" s="16">
        <f t="shared" si="3"/>
        <v>0</v>
      </c>
      <c r="N26" s="24">
        <f>H26-K26</f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1">SUM(C28:C42)</f>
        <v>75448328</v>
      </c>
      <c r="D27" s="65">
        <f t="shared" si="11"/>
        <v>0</v>
      </c>
      <c r="E27" s="65">
        <f t="shared" si="11"/>
        <v>57000000</v>
      </c>
      <c r="F27" s="65">
        <f t="shared" si="11"/>
        <v>0</v>
      </c>
      <c r="G27" s="65">
        <f t="shared" si="11"/>
        <v>0</v>
      </c>
      <c r="H27" s="65">
        <f t="shared" si="11"/>
        <v>132448328</v>
      </c>
      <c r="I27" s="65">
        <f t="shared" si="11"/>
        <v>0</v>
      </c>
      <c r="J27" s="65">
        <f t="shared" si="11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2">C28-D28+E28+F28-G28</f>
        <v>16180000</v>
      </c>
      <c r="I28" s="21">
        <v>0</v>
      </c>
      <c r="J28" s="21">
        <f>'LIBRO DE PRESUPUESTO'!J167</f>
        <v>1200000</v>
      </c>
      <c r="K28" s="20">
        <f t="shared" si="10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3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2"/>
        <v>39298328</v>
      </c>
      <c r="I29" s="21">
        <v>0</v>
      </c>
      <c r="J29" s="21">
        <f>'LIBRO DE PRESUPUESTO'!J187+'LIBRO DE PRESUPUESTO'!J188</f>
        <v>874615</v>
      </c>
      <c r="K29" s="20">
        <f t="shared" si="10"/>
        <v>874615</v>
      </c>
      <c r="L29" s="15">
        <f t="shared" si="1"/>
        <v>2.2255781467343853E-2</v>
      </c>
      <c r="M29" s="23">
        <f>J29+I29</f>
        <v>874615</v>
      </c>
      <c r="N29" s="24">
        <f t="shared" si="13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2"/>
        <v>1200000</v>
      </c>
      <c r="I30" s="21">
        <v>0</v>
      </c>
      <c r="J30" s="41">
        <f>'LIBRO DE PRESUPUESTO'!J257</f>
        <v>200000</v>
      </c>
      <c r="K30" s="20">
        <f t="shared" si="10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3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2"/>
        <v>10800000</v>
      </c>
      <c r="I31" s="21">
        <v>0</v>
      </c>
      <c r="J31" s="41">
        <f>'LIBRO DE PRESUPUESTO'!J277</f>
        <v>720300</v>
      </c>
      <c r="K31" s="20">
        <f t="shared" si="10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3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2"/>
        <v>6600000</v>
      </c>
      <c r="I32" s="21">
        <v>0</v>
      </c>
      <c r="J32" s="41">
        <f>SUM('LIBRO DE PRESUPUESTO'!J292:J294)</f>
        <v>535667</v>
      </c>
      <c r="K32" s="20">
        <f t="shared" si="10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3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2"/>
        <v>1920000</v>
      </c>
      <c r="I33" s="21">
        <v>0</v>
      </c>
      <c r="J33" s="25">
        <f>'LIBRO DE PRESUPUESTO'!J318+'LIBRO DE PRESUPUESTO'!J319</f>
        <v>103050</v>
      </c>
      <c r="K33" s="20">
        <f t="shared" si="10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3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2"/>
        <v>1500000</v>
      </c>
      <c r="I34" s="21"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3"/>
        <v>0</v>
      </c>
      <c r="N34" s="24">
        <f t="shared" si="13"/>
        <v>1500000</v>
      </c>
      <c r="O34" s="17">
        <f t="shared" ref="O34:O64" si="14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2"/>
        <v>0</v>
      </c>
      <c r="I35" s="21">
        <v>0</v>
      </c>
      <c r="J35" s="21">
        <v>0</v>
      </c>
      <c r="K35" s="20">
        <f t="shared" si="10"/>
        <v>0</v>
      </c>
      <c r="L35" s="15">
        <v>0</v>
      </c>
      <c r="M35" s="23">
        <f t="shared" si="3"/>
        <v>0</v>
      </c>
      <c r="N35" s="24">
        <f t="shared" si="13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2"/>
        <v>8000000</v>
      </c>
      <c r="I36" s="21"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3"/>
        <v>0</v>
      </c>
      <c r="N36" s="24">
        <f t="shared" si="13"/>
        <v>8000000</v>
      </c>
      <c r="O36" s="17">
        <f t="shared" si="14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2"/>
        <v>25000000</v>
      </c>
      <c r="I37" s="21"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3"/>
        <v>0</v>
      </c>
      <c r="N37" s="24">
        <f t="shared" si="13"/>
        <v>25000000</v>
      </c>
      <c r="O37" s="17">
        <f t="shared" si="14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2"/>
        <v>3000000</v>
      </c>
      <c r="I38" s="21"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3"/>
        <v>0</v>
      </c>
      <c r="N38" s="24">
        <f t="shared" si="13"/>
        <v>3000000</v>
      </c>
      <c r="O38" s="17">
        <f t="shared" si="14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2"/>
        <v>15000000</v>
      </c>
      <c r="I39" s="21"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3"/>
        <v>0</v>
      </c>
      <c r="N39" s="24">
        <f t="shared" si="13"/>
        <v>15000000</v>
      </c>
      <c r="O39" s="17">
        <f t="shared" si="14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2"/>
        <v>3000000</v>
      </c>
      <c r="I40" s="21"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4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2"/>
        <v>0</v>
      </c>
      <c r="I41" s="21">
        <v>0</v>
      </c>
      <c r="J41" s="21">
        <v>0</v>
      </c>
      <c r="K41" s="20">
        <f t="shared" si="10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2"/>
        <v>950000</v>
      </c>
      <c r="I42" s="21">
        <f>J42</f>
        <v>0</v>
      </c>
      <c r="J42" s="21">
        <v>0</v>
      </c>
      <c r="K42" s="20">
        <f t="shared" si="10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4"/>
        <v>1</v>
      </c>
    </row>
    <row r="43" spans="1:17" ht="15.75" x14ac:dyDescent="0.2">
      <c r="A43" s="63">
        <v>20201203</v>
      </c>
      <c r="B43" s="79" t="s">
        <v>190</v>
      </c>
      <c r="C43" s="312">
        <f t="shared" ref="C43:J43" si="15">C44</f>
        <v>0</v>
      </c>
      <c r="D43" s="312">
        <f t="shared" si="15"/>
        <v>0</v>
      </c>
      <c r="E43" s="312">
        <f t="shared" si="15"/>
        <v>0</v>
      </c>
      <c r="F43" s="312">
        <f t="shared" si="15"/>
        <v>1000000</v>
      </c>
      <c r="G43" s="312">
        <f t="shared" si="15"/>
        <v>0</v>
      </c>
      <c r="H43" s="312">
        <f t="shared" si="15"/>
        <v>1000000</v>
      </c>
      <c r="I43" s="313">
        <f t="shared" si="15"/>
        <v>0</v>
      </c>
      <c r="J43" s="327">
        <f t="shared" si="15"/>
        <v>0</v>
      </c>
      <c r="K43" s="63">
        <f t="shared" si="10"/>
        <v>0</v>
      </c>
      <c r="L43" s="314">
        <v>0</v>
      </c>
      <c r="M43" s="63">
        <f t="shared" si="3"/>
        <v>0</v>
      </c>
      <c r="N43" s="315">
        <f>H43-K43</f>
        <v>1000000</v>
      </c>
      <c r="O43" s="328">
        <f t="shared" si="14"/>
        <v>1</v>
      </c>
    </row>
    <row r="44" spans="1:17" ht="15" x14ac:dyDescent="0.25">
      <c r="A44" s="96">
        <v>2020120301</v>
      </c>
      <c r="B44" s="31" t="s">
        <v>191</v>
      </c>
      <c r="C44" s="311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16">
        <f>H44-K44</f>
        <v>1000000</v>
      </c>
      <c r="O44" s="17">
        <f t="shared" si="14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6">SUM(D46:D49)</f>
        <v>0</v>
      </c>
      <c r="E45" s="70">
        <f t="shared" si="16"/>
        <v>0</v>
      </c>
      <c r="F45" s="70">
        <f t="shared" si="16"/>
        <v>0</v>
      </c>
      <c r="G45" s="70">
        <f t="shared" si="16"/>
        <v>0</v>
      </c>
      <c r="H45" s="70">
        <f t="shared" si="16"/>
        <v>83777302.320260897</v>
      </c>
      <c r="I45" s="70">
        <f t="shared" si="16"/>
        <v>0</v>
      </c>
      <c r="J45" s="70">
        <f t="shared" si="16"/>
        <v>4986871</v>
      </c>
      <c r="K45" s="65">
        <f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>SUM(N46:N49)</f>
        <v>78790431.320260897</v>
      </c>
      <c r="O45" s="68">
        <f t="shared" si="14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29"/>
      <c r="E46" s="22"/>
      <c r="F46" s="34"/>
      <c r="G46" s="61"/>
      <c r="H46" s="20">
        <f>C46-D46+E46+F46-G46</f>
        <v>13146617.570005897</v>
      </c>
      <c r="I46" s="21">
        <f>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4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29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PRESUPUESTO'!J425</f>
        <v>3356700</v>
      </c>
      <c r="K47" s="20">
        <f t="shared" si="10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4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29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PRESUPUESTO'!J439</f>
        <v>1630171</v>
      </c>
      <c r="K48" s="20">
        <f t="shared" si="10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4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30"/>
      <c r="E49" s="22"/>
      <c r="F49" s="34"/>
      <c r="G49" s="44"/>
      <c r="H49" s="20">
        <f>C49-D49+E49+F49-G49</f>
        <v>6207712.159777239</v>
      </c>
      <c r="I49" s="21">
        <f>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4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 t="shared" ref="C50:J50" si="17">SUM(C51:C60)</f>
        <v>127422616</v>
      </c>
      <c r="D50" s="70">
        <f t="shared" si="17"/>
        <v>0</v>
      </c>
      <c r="E50" s="70">
        <f t="shared" si="17"/>
        <v>0</v>
      </c>
      <c r="F50" s="70">
        <f t="shared" si="17"/>
        <v>0</v>
      </c>
      <c r="G50" s="70">
        <f t="shared" si="17"/>
        <v>0</v>
      </c>
      <c r="H50" s="70">
        <f t="shared" si="17"/>
        <v>127422616</v>
      </c>
      <c r="I50" s="65">
        <f t="shared" si="17"/>
        <v>0</v>
      </c>
      <c r="J50" s="65">
        <f t="shared" si="17"/>
        <v>7396904</v>
      </c>
      <c r="K50" s="65">
        <f t="shared" si="10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4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29"/>
      <c r="E51" s="22"/>
      <c r="F51" s="34"/>
      <c r="G51" s="61"/>
      <c r="H51" s="20">
        <f t="shared" ref="H51:H63" si="18">C51-D51+E51+F51-G51</f>
        <v>38584317</v>
      </c>
      <c r="I51" s="21">
        <f>J51</f>
        <v>0</v>
      </c>
      <c r="J51" s="25">
        <v>0</v>
      </c>
      <c r="K51" s="20">
        <f t="shared" si="10"/>
        <v>0</v>
      </c>
      <c r="L51" s="15">
        <f t="shared" si="1"/>
        <v>0</v>
      </c>
      <c r="M51" s="23">
        <f t="shared" si="3"/>
        <v>0</v>
      </c>
      <c r="N51" s="24">
        <f t="shared" ref="N51:N63" si="19">H51-K51</f>
        <v>38584317</v>
      </c>
      <c r="O51" s="17">
        <f t="shared" si="14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29"/>
      <c r="E52" s="22"/>
      <c r="F52" s="34"/>
      <c r="G52" s="61"/>
      <c r="H52" s="20">
        <f t="shared" si="18"/>
        <v>0</v>
      </c>
      <c r="I52" s="21">
        <f>J52</f>
        <v>0</v>
      </c>
      <c r="J52" s="21"/>
      <c r="K52" s="20">
        <f t="shared" si="10"/>
        <v>0</v>
      </c>
      <c r="L52" s="15">
        <v>0</v>
      </c>
      <c r="M52" s="16">
        <f t="shared" si="3"/>
        <v>0</v>
      </c>
      <c r="N52" s="24">
        <f t="shared" si="19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29"/>
      <c r="E53" s="22"/>
      <c r="F53" s="34"/>
      <c r="G53" s="61"/>
      <c r="H53" s="20">
        <f t="shared" si="18"/>
        <v>2664792</v>
      </c>
      <c r="I53" s="21">
        <v>0</v>
      </c>
      <c r="J53" s="41">
        <f>'LIBRO DE PRESUPUESTO'!J474</f>
        <v>267200</v>
      </c>
      <c r="K53" s="20">
        <f t="shared" si="10"/>
        <v>267200</v>
      </c>
      <c r="L53" s="15">
        <f t="shared" si="1"/>
        <v>0.10027049015457867</v>
      </c>
      <c r="M53" s="23">
        <f t="shared" si="3"/>
        <v>267200</v>
      </c>
      <c r="N53" s="24">
        <f t="shared" si="19"/>
        <v>2397592</v>
      </c>
      <c r="O53" s="17">
        <f t="shared" si="14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29"/>
      <c r="E54" s="22"/>
      <c r="F54" s="34"/>
      <c r="G54" s="61"/>
      <c r="H54" s="20">
        <f t="shared" si="18"/>
        <v>40228819</v>
      </c>
      <c r="I54" s="21">
        <v>0</v>
      </c>
      <c r="J54" s="37">
        <f>'LIBRO DE PRESUPUESTO'!J486</f>
        <v>3083004</v>
      </c>
      <c r="K54" s="20">
        <f t="shared" si="10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19"/>
        <v>37145815</v>
      </c>
      <c r="O54" s="17">
        <f t="shared" si="14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29"/>
      <c r="E55" s="22"/>
      <c r="F55" s="34"/>
      <c r="G55" s="61"/>
      <c r="H55" s="20">
        <f t="shared" si="18"/>
        <v>20419860</v>
      </c>
      <c r="I55" s="21">
        <v>0</v>
      </c>
      <c r="J55" s="41">
        <f>'LIBRO DE PRESUPUESTO'!J498</f>
        <v>1797800</v>
      </c>
      <c r="K55" s="20">
        <f t="shared" si="10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19"/>
        <v>18622060</v>
      </c>
      <c r="O55" s="17">
        <f t="shared" si="14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29"/>
      <c r="E56" s="22"/>
      <c r="F56" s="34"/>
      <c r="G56" s="61"/>
      <c r="H56" s="20">
        <f t="shared" si="18"/>
        <v>15314892</v>
      </c>
      <c r="I56" s="21">
        <v>0</v>
      </c>
      <c r="J56" s="41">
        <f>'LIBRO DE PRESUPUESTO'!J511</f>
        <v>1348600</v>
      </c>
      <c r="K56" s="20">
        <f t="shared" si="10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19"/>
        <v>13966292</v>
      </c>
      <c r="O56" s="17">
        <f t="shared" si="14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29"/>
      <c r="E57" s="22"/>
      <c r="F57" s="34"/>
      <c r="G57" s="61"/>
      <c r="H57" s="20">
        <f t="shared" si="18"/>
        <v>2552484</v>
      </c>
      <c r="I57" s="21">
        <v>0</v>
      </c>
      <c r="J57" s="41">
        <f>'LIBRO DE PRESUPUESTO'!J527</f>
        <v>225200</v>
      </c>
      <c r="K57" s="20">
        <f t="shared" si="10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19"/>
        <v>2327284</v>
      </c>
      <c r="O57" s="17">
        <f t="shared" si="14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29"/>
      <c r="E58" s="22"/>
      <c r="F58" s="34"/>
      <c r="G58" s="61"/>
      <c r="H58" s="20">
        <f t="shared" si="18"/>
        <v>2552484</v>
      </c>
      <c r="I58" s="21">
        <v>0</v>
      </c>
      <c r="J58" s="41">
        <f>'LIBRO DE PRESUPUESTO'!J541</f>
        <v>225200</v>
      </c>
      <c r="K58" s="20">
        <f t="shared" si="10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19"/>
        <v>2327284</v>
      </c>
      <c r="O58" s="17">
        <f t="shared" si="14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29"/>
      <c r="E59" s="22"/>
      <c r="F59" s="34"/>
      <c r="G59" s="61"/>
      <c r="H59" s="20">
        <f t="shared" si="18"/>
        <v>5104968</v>
      </c>
      <c r="I59" s="21">
        <v>0</v>
      </c>
      <c r="J59" s="41">
        <f>'LIBRO DE PRESUPUESTO'!J560</f>
        <v>449900</v>
      </c>
      <c r="K59" s="20">
        <f t="shared" si="10"/>
        <v>449900</v>
      </c>
      <c r="L59" s="15">
        <f t="shared" si="1"/>
        <v>8.8129837444622577E-2</v>
      </c>
      <c r="M59" s="23">
        <f>J59+I59</f>
        <v>449900</v>
      </c>
      <c r="N59" s="24">
        <f t="shared" si="19"/>
        <v>4655068</v>
      </c>
      <c r="O59" s="17">
        <f t="shared" si="14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29"/>
      <c r="E60" s="22"/>
      <c r="F60" s="34"/>
      <c r="G60" s="61"/>
      <c r="H60" s="20">
        <f t="shared" si="18"/>
        <v>0</v>
      </c>
      <c r="I60" s="21">
        <f>J60</f>
        <v>0</v>
      </c>
      <c r="J60" s="21">
        <v>0</v>
      </c>
      <c r="K60" s="20">
        <f t="shared" si="10"/>
        <v>0</v>
      </c>
      <c r="L60" s="15">
        <v>0</v>
      </c>
      <c r="M60" s="16">
        <f t="shared" si="3"/>
        <v>0</v>
      </c>
      <c r="N60" s="24">
        <f t="shared" si="19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>D62</f>
        <v>0</v>
      </c>
      <c r="E61" s="71">
        <f>E62+E63</f>
        <v>0</v>
      </c>
      <c r="F61" s="65">
        <f>F62</f>
        <v>0</v>
      </c>
      <c r="G61" s="71">
        <f>G62</f>
        <v>0</v>
      </c>
      <c r="H61" s="65">
        <f>SUM(H62:H63)</f>
        <v>0</v>
      </c>
      <c r="I61" s="65">
        <f>I62</f>
        <v>0</v>
      </c>
      <c r="J61" s="65">
        <f>J62</f>
        <v>0</v>
      </c>
      <c r="K61" s="65">
        <f>K62</f>
        <v>0</v>
      </c>
      <c r="L61" s="66">
        <f>L62</f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18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19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18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19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0">E8+E18+E22+E27+E43+E45+E50+E61</f>
        <v>104610765</v>
      </c>
      <c r="F64" s="83">
        <f t="shared" si="20"/>
        <v>28650007</v>
      </c>
      <c r="G64" s="83">
        <f t="shared" si="20"/>
        <v>28650007</v>
      </c>
      <c r="H64" s="83">
        <f t="shared" si="20"/>
        <v>1078203831.2334807</v>
      </c>
      <c r="I64" s="83">
        <f t="shared" si="20"/>
        <v>0</v>
      </c>
      <c r="J64" s="83">
        <f t="shared" si="20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4"/>
        <v>0.91501581579878666</v>
      </c>
    </row>
    <row r="65" spans="1:17" ht="35.25" customHeight="1" thickBot="1" x14ac:dyDescent="0.3">
      <c r="A65" s="81" t="s">
        <v>114</v>
      </c>
      <c r="B65" s="373" t="s">
        <v>115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5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PAC INICIAL 2018</vt:lpstr>
      <vt:lpstr>LIBRO DE PRESUPUESTO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2018-06-19T17:03:59Z</cp:lastPrinted>
  <dcterms:created xsi:type="dcterms:W3CDTF">2017-04-04T19:21:33Z</dcterms:created>
  <dcterms:modified xsi:type="dcterms:W3CDTF">2018-07-06T13:52:11Z</dcterms:modified>
</cp:coreProperties>
</file>